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5.xml" ContentType="application/vnd.openxmlformats-officedocument.spreadsheetml.worksheet+xml"/>
  <Override PartName="/xl/worksheets/sheet4.xml" ContentType="application/vnd.openxmlformats-officedocument.spreadsheetml.worksheet+xml"/>
  <Override PartName="/xl/worksheets/sheet6.xml" ContentType="application/vnd.openxmlformats-officedocument.spreadsheetml.worksheet+xml"/>
  <Override PartName="/xl/worksheets/sheet1.xml" ContentType="application/vnd.openxmlformats-officedocument.spreadsheetml.worksheet+xml"/>
  <Override PartName="/xl/worksheets/sheet11.xml" ContentType="application/vnd.openxmlformats-officedocument.spreadsheetml.worksheet+xml"/>
  <Override PartName="/xl/worksheets/sheet9.xml" ContentType="application/vnd.openxmlformats-officedocument.spreadsheetml.worksheet+xml"/>
  <Override PartName="/xl/worksheets/sheet12.xml" ContentType="application/vnd.openxmlformats-officedocument.spreadsheetml.worksheet+xml"/>
  <Override PartName="/xl/worksheets/sheet8.xml" ContentType="application/vnd.openxmlformats-officedocument.spreadsheetml.worksheet+xml"/>
  <Override PartName="/xl/worksheets/sheet10.xml" ContentType="application/vnd.openxmlformats-officedocument.spreadsheetml.worksheet+xml"/>
  <Override PartName="/xl/worksheets/sheet7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eme/theme1.xml" ContentType="application/vnd.openxmlformats-officedocument.theme+xml"/>
  <Override PartName="/xl/drawings/vmlDrawing1.vml" ContentType="application/vnd.openxmlformats-officedocument.vmlDrawing"/>
  <Override PartName="/xl/drawings/drawing1.xml" ContentType="application/vnd.openxmlformats-officedocument.drawing+xml"/>
  <Override PartName="/xl/drawings/vmlDrawing2.vml" ContentType="application/vnd.openxmlformats-officedocument.vmlDrawing"/>
  <Override PartName="/xl/comments9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假设" sheetId="1" state="visible" r:id="rId3"/>
    <sheet name="市场与对标" sheetId="2" state="visible" r:id="rId4"/>
    <sheet name="销售测算" sheetId="3" state="visible" r:id="rId5"/>
    <sheet name="通道年单" sheetId="4" state="visible" r:id="rId6"/>
    <sheet name="年单明细" sheetId="5" state="visible" r:id="rId7"/>
    <sheet name="按渠道" sheetId="6" state="visible" r:id="rId8"/>
    <sheet name="按场景" sheetId="7" state="visible" r:id="rId9"/>
    <sheet name="按客户" sheetId="8" state="visible" r:id="rId10"/>
    <sheet name="产品结构" sheetId="9" state="visible" r:id="rId11"/>
    <sheet name="按产品线" sheetId="10" state="visible" r:id="rId12"/>
    <sheet name="协同利润" sheetId="11" state="visible" r:id="rId13"/>
    <sheet name="综合收益" sheetId="12" state="visible" r:id="rId14"/>
    <sheet name="敏感性" sheetId="13" state="visible" r:id="rId15"/>
  </sheets>
  <definedNames>
    <definedName function="false" hidden="false" localSheetId="0" name="_xlnm.Print_Titles" vbProcedure="false">假设!$1:$2</definedName>
    <definedName function="false" hidden="false" localSheetId="4" name="_xlnm.Print_Titles" vbProcedure="false">年单明细!$1:$5</definedName>
    <definedName function="false" hidden="true" localSheetId="4" name="_xlnm._FilterDatabase" vbProcedure="false">年单明细!$A$5:$R$21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model</author>
  </authors>
  <commentList>
    <comment ref="B6" authorId="0">
      <text>
        <r>
          <rPr>
            <sz val="10"/>
            <rFont val="Noto Sans CJK SC"/>
            <family val="2"/>
          </rPr>
          <t xml:space="preserve">启动轮现金增资</t>
        </r>
      </text>
    </comment>
    <comment ref="B7" authorId="0">
      <text>
        <r>
          <rPr>
            <sz val="10"/>
            <rFont val="Noto Sans CJK SC"/>
            <family val="2"/>
          </rPr>
          <t xml:space="preserve">投后估值 </t>
        </r>
        <r>
          <rPr>
            <sz val="10"/>
            <rFont val="Arial"/>
            <family val="2"/>
          </rPr>
          <t xml:space="preserve">2 </t>
        </r>
        <r>
          <rPr>
            <sz val="10"/>
            <rFont val="Noto Sans CJK SC"/>
            <family val="2"/>
          </rPr>
          <t xml:space="preserve">亿元</t>
        </r>
      </text>
    </comment>
    <comment ref="B8" authorId="0">
      <text>
        <r>
          <rPr>
            <sz val="10"/>
            <rFont val="Noto Sans CJK SC"/>
            <family val="2"/>
          </rPr>
          <t xml:space="preserve">增量经营利润</t>
        </r>
      </text>
    </comment>
    <comment ref="B9" authorId="0">
      <text>
        <r>
          <rPr>
            <sz val="10"/>
            <rFont val="Noto Sans CJK SC"/>
            <family val="2"/>
          </rPr>
          <t xml:space="preserve">系统合同额中佳力图自产温控</t>
        </r>
      </text>
    </comment>
    <comment ref="B10" authorId="0">
      <text>
        <r>
          <rPr>
            <sz val="10"/>
            <rFont val="Noto Sans CJK SC"/>
            <family val="2"/>
          </rPr>
          <t xml:space="preserve">仅作用于自产，不按年单全额</t>
        </r>
      </text>
    </comment>
    <comment ref="B11" authorId="0">
      <text>
        <r>
          <rPr>
            <sz val="10"/>
            <rFont val="Noto Sans CJK SC"/>
            <family val="2"/>
          </rPr>
          <t xml:space="preserve">海外自营可归因切片</t>
        </r>
      </text>
    </comment>
    <comment ref="B12" authorId="0">
      <text>
        <r>
          <rPr>
            <sz val="10"/>
            <rFont val="Noto Sans CJK SC"/>
            <family val="2"/>
          </rPr>
          <t xml:space="preserve">按自营回款计，有回款才计</t>
        </r>
      </text>
    </comment>
    <comment ref="B16" authorId="0">
      <text>
        <r>
          <rPr>
            <sz val="10"/>
            <rFont val="Noto Sans CJK SC"/>
            <family val="2"/>
          </rPr>
          <t xml:space="preserve">审慎通道按基准 </t>
        </r>
        <r>
          <rPr>
            <sz val="10"/>
            <rFont val="Arial"/>
            <family val="2"/>
          </rPr>
          <t xml:space="preserve">0.45 </t>
        </r>
        <r>
          <rPr>
            <sz val="10"/>
            <rFont val="Noto Sans CJK SC"/>
            <family val="2"/>
          </rPr>
          <t xml:space="preserve">倍</t>
        </r>
      </text>
    </comment>
    <comment ref="B17" authorId="0">
      <text>
        <r>
          <rPr>
            <sz val="10"/>
            <rFont val="Noto Sans CJK SC"/>
            <family val="2"/>
          </rPr>
          <t xml:space="preserve">审慎自营按基准 </t>
        </r>
        <r>
          <rPr>
            <sz val="10"/>
            <rFont val="Arial"/>
            <family val="2"/>
          </rPr>
          <t xml:space="preserve">0.60 </t>
        </r>
        <r>
          <rPr>
            <sz val="10"/>
            <rFont val="Noto Sans CJK SC"/>
            <family val="2"/>
          </rPr>
          <t xml:space="preserve">倍</t>
        </r>
      </text>
    </comment>
    <comment ref="B22" authorId="0">
      <text>
        <r>
          <rPr>
            <sz val="10"/>
            <rFont val="Noto Sans CJK SC"/>
            <family val="2"/>
          </rPr>
          <t xml:space="preserve">第 </t>
        </r>
        <r>
          <rPr>
            <sz val="10"/>
            <rFont val="Arial"/>
            <family val="2"/>
          </rPr>
          <t xml:space="preserve">3 </t>
        </r>
        <r>
          <rPr>
            <sz val="10"/>
            <rFont val="Noto Sans CJK SC"/>
            <family val="2"/>
          </rPr>
          <t xml:space="preserve">年 </t>
        </r>
        <r>
          <rPr>
            <sz val="10"/>
            <rFont val="Arial"/>
            <family val="2"/>
          </rPr>
          <t xml:space="preserve">24,600 </t>
        </r>
        <r>
          <rPr>
            <sz val="10"/>
            <rFont val="Noto Sans CJK SC"/>
            <family val="2"/>
          </rPr>
          <t xml:space="preserve">万元 </t>
        </r>
        <r>
          <rPr>
            <sz val="10"/>
            <rFont val="Arial"/>
            <family val="2"/>
          </rPr>
          <t xml:space="preserve">= </t>
        </r>
        <r>
          <rPr>
            <sz val="10"/>
            <rFont val="Noto Sans CJK SC"/>
            <family val="2"/>
          </rPr>
          <t xml:space="preserve">锁定年框。旧稿把 </t>
        </r>
        <r>
          <rPr>
            <sz val="10"/>
            <rFont val="Arial"/>
            <family val="2"/>
          </rPr>
          <t xml:space="preserve">8 </t>
        </r>
        <r>
          <rPr>
            <sz val="10"/>
            <rFont val="Noto Sans CJK SC"/>
            <family val="2"/>
          </rPr>
          <t xml:space="preserve">年合计 </t>
        </r>
        <r>
          <rPr>
            <sz val="10"/>
            <rFont val="Arial"/>
            <family val="2"/>
          </rPr>
          <t xml:space="preserve">1.73 </t>
        </r>
        <r>
          <rPr>
            <sz val="10"/>
            <rFont val="Noto Sans CJK SC"/>
            <family val="2"/>
          </rPr>
          <t xml:space="preserve">亿误写入此格。</t>
        </r>
      </text>
    </comment>
    <comment ref="D16" authorId="0">
      <text>
        <r>
          <rPr>
            <sz val="10"/>
            <rFont val="Noto Sans CJK SC"/>
            <family val="2"/>
          </rPr>
          <t xml:space="preserve">乐观通道按基准 </t>
        </r>
        <r>
          <rPr>
            <sz val="10"/>
            <rFont val="Arial"/>
            <family val="2"/>
          </rPr>
          <t xml:space="preserve">1.70 </t>
        </r>
        <r>
          <rPr>
            <sz val="10"/>
            <rFont val="Noto Sans CJK SC"/>
            <family val="2"/>
          </rPr>
          <t xml:space="preserve">倍</t>
        </r>
      </text>
    </comment>
  </commentList>
</comments>
</file>

<file path=xl/comments9.xml><?xml version="1.0" encoding="utf-8"?>
<comments xmlns="http://schemas.openxmlformats.org/spreadsheetml/2006/main" xmlns:xdr="http://schemas.openxmlformats.org/drawingml/2006/spreadsheetDrawing">
  <authors>
    <author>model</author>
  </authors>
  <commentList>
    <comment ref="B6" authorId="0">
      <text>
        <r>
          <rPr>
            <sz val="10"/>
            <rFont val="Noto Sans CJK SC"/>
            <family val="2"/>
          </rPr>
          <t xml:space="preserve">液冷含冷板、</t>
        </r>
        <r>
          <rPr>
            <sz val="10"/>
            <rFont val="Arial"/>
            <family val="2"/>
          </rPr>
          <t xml:space="preserve">CDU</t>
        </r>
        <r>
          <rPr>
            <sz val="10"/>
            <rFont val="Noto Sans CJK SC"/>
            <family val="2"/>
          </rPr>
          <t xml:space="preserve">、</t>
        </r>
        <r>
          <rPr>
            <sz val="10"/>
            <rFont val="Arial"/>
            <family val="2"/>
          </rPr>
          <t xml:space="preserve">Manifold</t>
        </r>
        <r>
          <rPr>
            <sz val="10"/>
            <rFont val="Noto Sans CJK SC"/>
            <family val="2"/>
          </rPr>
          <t xml:space="preserve">、环网与集装箱液冷。结构占该场景自产，不占系统合同额。</t>
        </r>
      </text>
    </comment>
  </commentList>
</comments>
</file>

<file path=xl/sharedStrings.xml><?xml version="1.0" encoding="utf-8"?>
<sst xmlns="http://schemas.openxmlformats.org/spreadsheetml/2006/main" count="725" uniqueCount="284">
  <si>
    <t xml:space="preserve">佳力图投资渠道商 · 收益测算假设</t>
  </si>
  <si>
    <t xml:space="preserve">单位：人民币万元。蓝色+黄底为输入；其余为公式。不构成收益承诺。</t>
  </si>
  <si>
    <t xml:space="preserve">一、交易与税率</t>
  </si>
  <si>
    <t xml:space="preserve">项目</t>
  </si>
  <si>
    <t xml:space="preserve">取值</t>
  </si>
  <si>
    <t xml:space="preserve">单位</t>
  </si>
  <si>
    <t xml:space="preserve">说明</t>
  </si>
  <si>
    <t xml:space="preserve">出资额</t>
  </si>
  <si>
    <t xml:space="preserve">万元</t>
  </si>
  <si>
    <t xml:space="preserve">启动轮现金增资</t>
  </si>
  <si>
    <t xml:space="preserve">投后持股</t>
  </si>
  <si>
    <t xml:space="preserve">%</t>
  </si>
  <si>
    <t xml:space="preserve">投后估值 2 亿元</t>
  </si>
  <si>
    <t xml:space="preserve">企业所得税率</t>
  </si>
  <si>
    <t xml:space="preserve">增量经营利润</t>
  </si>
  <si>
    <t xml:space="preserve">自产占通道年单</t>
  </si>
  <si>
    <t xml:space="preserve">第 3 年取值；逐年见第 41 行</t>
  </si>
  <si>
    <t xml:space="preserve">自产贡献利润率</t>
  </si>
  <si>
    <t xml:space="preserve">综合参考；协同利润改按产品线毛利</t>
  </si>
  <si>
    <t xml:space="preserve">自营贡献利润率</t>
  </si>
  <si>
    <t xml:space="preserve">海外自营可归因切片</t>
  </si>
  <si>
    <t xml:space="preserve">运营服务费率</t>
  </si>
  <si>
    <t xml:space="preserve">按自营回款计，有回款才计</t>
  </si>
  <si>
    <t xml:space="preserve">二、情景系数（相对基准）</t>
  </si>
  <si>
    <t xml:space="preserve">审慎</t>
  </si>
  <si>
    <t xml:space="preserve">基准</t>
  </si>
  <si>
    <t xml:space="preserve">乐观</t>
  </si>
  <si>
    <t xml:space="preserve">通道年单倍数</t>
  </si>
  <si>
    <t xml:space="preserve">海外自营倍数</t>
  </si>
  <si>
    <t xml:space="preserve">三、基准通道系统年单（与全球战略海湾规模对齐）</t>
  </si>
  <si>
    <r>
      <rPr>
        <i val="true"/>
        <sz val="9"/>
        <color rgb="FF595959"/>
        <rFont val="Noto Sans CJK SC"/>
        <family val="2"/>
        <charset val="1"/>
      </rPr>
      <t xml:space="preserve">海湾约占海外 </t>
    </r>
    <r>
      <rPr>
        <i val="true"/>
        <sz val="9"/>
        <color rgb="FF595959"/>
        <rFont val="Arial"/>
        <family val="0"/>
        <charset val="1"/>
      </rPr>
      <t xml:space="preserve">42%</t>
    </r>
    <r>
      <rPr>
        <i val="true"/>
        <sz val="9"/>
        <color rgb="FF595959"/>
        <rFont val="Noto Sans CJK SC"/>
        <family val="2"/>
        <charset val="1"/>
      </rPr>
      <t xml:space="preserve">。通道捕获随年框上升。第 </t>
    </r>
    <r>
      <rPr>
        <i val="true"/>
        <sz val="9"/>
        <color rgb="FF595959"/>
        <rFont val="Arial"/>
        <family val="0"/>
        <charset val="1"/>
      </rPr>
      <t xml:space="preserve">3 </t>
    </r>
    <r>
      <rPr>
        <i val="true"/>
        <sz val="9"/>
        <color rgb="FF595959"/>
        <rFont val="Noto Sans CJK SC"/>
        <family val="2"/>
        <charset val="1"/>
      </rPr>
      <t xml:space="preserve">年即锁定年框，不是 </t>
    </r>
    <r>
      <rPr>
        <i val="true"/>
        <sz val="9"/>
        <color rgb="FF595959"/>
        <rFont val="Arial"/>
        <family val="0"/>
        <charset val="1"/>
      </rPr>
      <t xml:space="preserve">8 </t>
    </r>
    <r>
      <rPr>
        <i val="true"/>
        <sz val="9"/>
        <color rgb="FF595959"/>
        <rFont val="Noto Sans CJK SC"/>
        <family val="2"/>
        <charset val="1"/>
      </rPr>
      <t xml:space="preserve">年合计。第 </t>
    </r>
    <r>
      <rPr>
        <i val="true"/>
        <sz val="9"/>
        <color rgb="FF595959"/>
        <rFont val="Arial"/>
        <family val="0"/>
        <charset val="1"/>
      </rPr>
      <t xml:space="preserve">6–8 </t>
    </r>
    <r>
      <rPr>
        <i val="true"/>
        <sz val="9"/>
        <color rgb="FF595959"/>
        <rFont val="Noto Sans CJK SC"/>
        <family val="2"/>
        <charset val="1"/>
      </rPr>
      <t xml:space="preserve">年按海湾温控市场约 </t>
    </r>
    <r>
      <rPr>
        <i val="true"/>
        <sz val="9"/>
        <color rgb="FF595959"/>
        <rFont val="Arial"/>
        <family val="0"/>
        <charset val="1"/>
      </rPr>
      <t xml:space="preserve">18% </t>
    </r>
    <r>
      <rPr>
        <i val="true"/>
        <sz val="9"/>
        <color rgb="FF595959"/>
        <rFont val="Noto Sans CJK SC"/>
        <family val="2"/>
        <charset val="1"/>
      </rPr>
      <t xml:space="preserve">扩张续写，不再人为压低增速。</t>
    </r>
  </si>
  <si>
    <t xml:space="preserve">第 1 年</t>
  </si>
  <si>
    <t xml:space="preserve">第 2 年</t>
  </si>
  <si>
    <t xml:space="preserve">第 3 年</t>
  </si>
  <si>
    <t xml:space="preserve">第 4 年</t>
  </si>
  <si>
    <t xml:space="preserve">第 5 年</t>
  </si>
  <si>
    <t xml:space="preserve">第 6 年</t>
  </si>
  <si>
    <t xml:space="preserve">第 7 年</t>
  </si>
  <si>
    <t xml:space="preserve">第 8 年</t>
  </si>
  <si>
    <t xml:space="preserve">合计</t>
  </si>
  <si>
    <t xml:space="preserve">通道系统年单</t>
  </si>
  <si>
    <t xml:space="preserve">海外自营切片</t>
  </si>
  <si>
    <t xml:space="preserve">团队费用</t>
  </si>
  <si>
    <t xml:space="preserve">市场与认证</t>
  </si>
  <si>
    <t xml:space="preserve">四、财务投资税后现金流（来自渠道商经营模型，本表不重算其内部账）</t>
  </si>
  <si>
    <t xml:space="preserve">情景</t>
  </si>
  <si>
    <t xml:space="preserve">第 0 年</t>
  </si>
  <si>
    <t xml:space="preserve">口径说明</t>
  </si>
  <si>
    <r>
      <rPr>
        <i val="true"/>
        <sz val="9"/>
        <color rgb="FF595959"/>
        <rFont val="Arial"/>
        <family val="0"/>
        <charset val="1"/>
      </rPr>
      <t xml:space="preserve">1. </t>
    </r>
    <r>
      <rPr>
        <i val="true"/>
        <sz val="9"/>
        <color rgb="FF595959"/>
        <rFont val="Noto Sans CJK SC"/>
        <family val="2"/>
        <charset val="1"/>
      </rPr>
      <t xml:space="preserve">通道年单 </t>
    </r>
    <r>
      <rPr>
        <i val="true"/>
        <sz val="9"/>
        <color rgb="FF595959"/>
        <rFont val="Arial"/>
        <family val="0"/>
        <charset val="1"/>
      </rPr>
      <t xml:space="preserve">= </t>
    </r>
    <r>
      <rPr>
        <i val="true"/>
        <sz val="9"/>
        <color rgb="FF595959"/>
        <rFont val="Noto Sans CJK SC"/>
        <family val="2"/>
        <charset val="1"/>
      </rPr>
      <t xml:space="preserve">经该渠道进入海湾机房的系统交付合同额。
</t>
    </r>
    <r>
      <rPr>
        <i val="true"/>
        <sz val="9"/>
        <color rgb="FF595959"/>
        <rFont val="Arial"/>
        <family val="0"/>
        <charset val="1"/>
      </rPr>
      <t xml:space="preserve">2. </t>
    </r>
    <r>
      <rPr>
        <i val="true"/>
        <sz val="9"/>
        <color rgb="FF595959"/>
        <rFont val="Noto Sans CJK SC"/>
        <family val="2"/>
        <charset val="1"/>
      </rPr>
      <t xml:space="preserve">第 </t>
    </r>
    <r>
      <rPr>
        <i val="true"/>
        <sz val="9"/>
        <color rgb="FF595959"/>
        <rFont val="Arial"/>
        <family val="0"/>
        <charset val="1"/>
      </rPr>
      <t xml:space="preserve">3 </t>
    </r>
    <r>
      <rPr>
        <i val="true"/>
        <sz val="9"/>
        <color rgb="FF595959"/>
        <rFont val="Noto Sans CJK SC"/>
        <family val="2"/>
        <charset val="1"/>
      </rPr>
      <t xml:space="preserve">年锁定年框取通道年单（基准 </t>
    </r>
    <r>
      <rPr>
        <i val="true"/>
        <sz val="9"/>
        <color rgb="FF595959"/>
        <rFont val="Arial"/>
        <family val="0"/>
        <charset val="1"/>
      </rPr>
      <t xml:space="preserve">2.46 </t>
    </r>
    <r>
      <rPr>
        <i val="true"/>
        <sz val="9"/>
        <color rgb="FF595959"/>
        <rFont val="Noto Sans CJK SC"/>
        <family val="2"/>
        <charset val="1"/>
      </rPr>
      <t xml:space="preserve">亿元），不是 </t>
    </r>
    <r>
      <rPr>
        <i val="true"/>
        <sz val="9"/>
        <color rgb="FF595959"/>
        <rFont val="Arial"/>
        <family val="0"/>
        <charset val="1"/>
      </rPr>
      <t xml:space="preserve">8 </t>
    </r>
    <r>
      <rPr>
        <i val="true"/>
        <sz val="9"/>
        <color rgb="FF595959"/>
        <rFont val="Noto Sans CJK SC"/>
        <family val="2"/>
        <charset val="1"/>
      </rPr>
      <t xml:space="preserve">年累计。
</t>
    </r>
    <r>
      <rPr>
        <i val="true"/>
        <sz val="9"/>
        <color rgb="FF595959"/>
        <rFont val="Arial"/>
        <family val="0"/>
        <charset val="1"/>
      </rPr>
      <t xml:space="preserve">3. </t>
    </r>
    <r>
      <rPr>
        <i val="true"/>
        <sz val="9"/>
        <color rgb="FF595959"/>
        <rFont val="Noto Sans CJK SC"/>
        <family val="2"/>
        <charset val="1"/>
      </rPr>
      <t xml:space="preserve">协同利润按产品线贡献利润率：精密空调、液冷、冷站分列；不按年单全额毛利，系统集成不计入协同毛利。
</t>
    </r>
    <r>
      <rPr>
        <i val="true"/>
        <sz val="9"/>
        <color rgb="FF595959"/>
        <rFont val="Arial"/>
        <family val="0"/>
        <charset val="1"/>
      </rPr>
      <t xml:space="preserve">4. </t>
    </r>
    <r>
      <rPr>
        <i val="true"/>
        <sz val="9"/>
        <color rgb="FF595959"/>
        <rFont val="Noto Sans CJK SC"/>
        <family val="2"/>
        <charset val="1"/>
      </rPr>
      <t xml:space="preserve">自产占比随液冷与冷站提升，由第 </t>
    </r>
    <r>
      <rPr>
        <i val="true"/>
        <sz val="9"/>
        <color rgb="FF595959"/>
        <rFont val="Arial"/>
        <family val="0"/>
        <charset val="1"/>
      </rPr>
      <t xml:space="preserve">1 </t>
    </r>
    <r>
      <rPr>
        <i val="true"/>
        <sz val="9"/>
        <color rgb="FF595959"/>
        <rFont val="Noto Sans CJK SC"/>
        <family val="2"/>
        <charset val="1"/>
      </rPr>
      <t xml:space="preserve">年 </t>
    </r>
    <r>
      <rPr>
        <i val="true"/>
        <sz val="9"/>
        <color rgb="FF595959"/>
        <rFont val="Arial"/>
        <family val="0"/>
        <charset val="1"/>
      </rPr>
      <t xml:space="preserve">34% </t>
    </r>
    <r>
      <rPr>
        <i val="true"/>
        <sz val="9"/>
        <color rgb="FF595959"/>
        <rFont val="Noto Sans CJK SC"/>
        <family val="2"/>
        <charset val="1"/>
      </rPr>
      <t xml:space="preserve">升至第 </t>
    </r>
    <r>
      <rPr>
        <i val="true"/>
        <sz val="9"/>
        <color rgb="FF595959"/>
        <rFont val="Arial"/>
        <family val="0"/>
        <charset val="1"/>
      </rPr>
      <t xml:space="preserve">5 </t>
    </r>
    <r>
      <rPr>
        <i val="true"/>
        <sz val="9"/>
        <color rgb="FF595959"/>
        <rFont val="Noto Sans CJK SC"/>
        <family val="2"/>
        <charset val="1"/>
      </rPr>
      <t xml:space="preserve">年 </t>
    </r>
    <r>
      <rPr>
        <i val="true"/>
        <sz val="9"/>
        <color rgb="FF595959"/>
        <rFont val="Arial"/>
        <family val="0"/>
        <charset val="1"/>
      </rPr>
      <t xml:space="preserve">42%</t>
    </r>
    <r>
      <rPr>
        <i val="true"/>
        <sz val="9"/>
        <color rgb="FF595959"/>
        <rFont val="Noto Sans CJK SC"/>
        <family val="2"/>
        <charset val="1"/>
      </rPr>
      <t xml:space="preserve">；第 </t>
    </r>
    <r>
      <rPr>
        <i val="true"/>
        <sz val="9"/>
        <color rgb="FF595959"/>
        <rFont val="Arial"/>
        <family val="0"/>
        <charset val="1"/>
      </rPr>
      <t xml:space="preserve">3 </t>
    </r>
    <r>
      <rPr>
        <i val="true"/>
        <sz val="9"/>
        <color rgb="FF595959"/>
        <rFont val="Noto Sans CJK SC"/>
        <family val="2"/>
        <charset val="1"/>
      </rPr>
      <t xml:space="preserve">年仍为 </t>
    </r>
    <r>
      <rPr>
        <i val="true"/>
        <sz val="9"/>
        <color rgb="FF595959"/>
        <rFont val="Arial"/>
        <family val="0"/>
        <charset val="1"/>
      </rPr>
      <t xml:space="preserve">38%</t>
    </r>
    <r>
      <rPr>
        <i val="true"/>
        <sz val="9"/>
        <color rgb="FF595959"/>
        <rFont val="Noto Sans CJK SC"/>
        <family val="2"/>
        <charset val="1"/>
      </rPr>
      <t xml:space="preserve">。
</t>
    </r>
    <r>
      <rPr>
        <i val="true"/>
        <sz val="9"/>
        <color rgb="FF595959"/>
        <rFont val="Arial"/>
        <family val="0"/>
        <charset val="1"/>
      </rPr>
      <t xml:space="preserve">5. </t>
    </r>
    <r>
      <rPr>
        <i val="true"/>
        <sz val="9"/>
        <color rgb="FF595959"/>
        <rFont val="Noto Sans CJK SC"/>
        <family val="2"/>
        <charset val="1"/>
      </rPr>
      <t xml:space="preserve">海外自营切片小于全球战略全额海外营收。财务投资现金流不重算。
</t>
    </r>
    <r>
      <rPr>
        <i val="true"/>
        <sz val="9"/>
        <color rgb="FF595959"/>
        <rFont val="Arial"/>
        <family val="0"/>
        <charset val="1"/>
      </rPr>
      <t xml:space="preserve">6. </t>
    </r>
    <r>
      <rPr>
        <i val="true"/>
        <sz val="9"/>
        <color rgb="FF595959"/>
        <rFont val="Noto Sans CJK SC"/>
        <family val="2"/>
        <charset val="1"/>
      </rPr>
      <t xml:space="preserve">销售结构已按国际在位商压房间级、国内同业已出海、液冷份额上升重切。改份额只改「年单明细」</t>
    </r>
    <r>
      <rPr>
        <i val="true"/>
        <sz val="9"/>
        <color rgb="FF595959"/>
        <rFont val="Arial"/>
        <family val="0"/>
        <charset val="1"/>
      </rPr>
      <t xml:space="preserve">E/F</t>
    </r>
    <r>
      <rPr>
        <i val="true"/>
        <sz val="9"/>
        <color rgb="FF595959"/>
        <rFont val="Noto Sans CJK SC"/>
        <family val="2"/>
        <charset val="1"/>
      </rPr>
      <t xml:space="preserve">；改产品结构只改「产品结构」；改市场只改「市场与对标」。</t>
    </r>
  </si>
  <si>
    <r>
      <rPr>
        <i val="true"/>
        <sz val="9"/>
        <color rgb="FF595959"/>
        <rFont val="Arial"/>
        <family val="0"/>
        <charset val="1"/>
      </rPr>
      <t xml:space="preserve">7. </t>
    </r>
    <r>
      <rPr>
        <i val="true"/>
        <sz val="9"/>
        <color rgb="FF595959"/>
        <rFont val="Noto Sans CJK SC"/>
        <family val="2"/>
        <charset val="1"/>
      </rPr>
      <t xml:space="preserve">拆分见「年单明细」「按渠道」「按场景」「按客户」「产品结构」「按产品线」「销售测算」。</t>
    </r>
  </si>
  <si>
    <t xml:space="preserve">五、按市场与对标校准后的产品贡献利润率、自产占比</t>
  </si>
  <si>
    <t xml:space="preserve">精密空调贡献利润率</t>
  </si>
  <si>
    <t xml:space="preserve">海湾房间级仍由国际在位商压价</t>
  </si>
  <si>
    <t xml:space="preserve">液冷贡献利润率</t>
  </si>
  <si>
    <t xml:space="preserve">高密机柜切换窗口，国内同业境外毛利显著高于境内</t>
  </si>
  <si>
    <t xml:space="preserve">智能冷站贡献利润率</t>
  </si>
  <si>
    <t xml:space="preserve">预制入口，介于精密空调与液冷之间</t>
  </si>
  <si>
    <t xml:space="preserve">自产占通道年单（逐年）</t>
  </si>
  <si>
    <r>
      <rPr>
        <b val="true"/>
        <sz val="10"/>
        <color rgb="FFFFFFFF"/>
        <rFont val="Noto Sans CJK SC"/>
        <family val="2"/>
        <charset val="1"/>
      </rPr>
      <t xml:space="preserve">第 </t>
    </r>
    <r>
      <rPr>
        <b val="true"/>
        <sz val="10"/>
        <color rgb="FFFFFFFF"/>
        <rFont val="Arial"/>
        <family val="0"/>
        <charset val="1"/>
      </rPr>
      <t xml:space="preserve">1 </t>
    </r>
    <r>
      <rPr>
        <b val="true"/>
        <sz val="10"/>
        <color rgb="FFFFFFFF"/>
        <rFont val="Noto Sans CJK SC"/>
        <family val="2"/>
        <charset val="1"/>
      </rPr>
      <t xml:space="preserve">年</t>
    </r>
  </si>
  <si>
    <r>
      <rPr>
        <b val="true"/>
        <sz val="10"/>
        <color rgb="FFFFFFFF"/>
        <rFont val="Noto Sans CJK SC"/>
        <family val="2"/>
        <charset val="1"/>
      </rPr>
      <t xml:space="preserve">第 </t>
    </r>
    <r>
      <rPr>
        <b val="true"/>
        <sz val="10"/>
        <color rgb="FFFFFFFF"/>
        <rFont val="Arial"/>
        <family val="0"/>
        <charset val="1"/>
      </rPr>
      <t xml:space="preserve">2 </t>
    </r>
    <r>
      <rPr>
        <b val="true"/>
        <sz val="10"/>
        <color rgb="FFFFFFFF"/>
        <rFont val="Noto Sans CJK SC"/>
        <family val="2"/>
        <charset val="1"/>
      </rPr>
      <t xml:space="preserve">年</t>
    </r>
  </si>
  <si>
    <r>
      <rPr>
        <b val="true"/>
        <sz val="10"/>
        <color rgb="FFFFFFFF"/>
        <rFont val="Noto Sans CJK SC"/>
        <family val="2"/>
        <charset val="1"/>
      </rPr>
      <t xml:space="preserve">第 </t>
    </r>
    <r>
      <rPr>
        <b val="true"/>
        <sz val="10"/>
        <color rgb="FFFFFFFF"/>
        <rFont val="Arial"/>
        <family val="0"/>
        <charset val="1"/>
      </rPr>
      <t xml:space="preserve">3 </t>
    </r>
    <r>
      <rPr>
        <b val="true"/>
        <sz val="10"/>
        <color rgb="FFFFFFFF"/>
        <rFont val="Noto Sans CJK SC"/>
        <family val="2"/>
        <charset val="1"/>
      </rPr>
      <t xml:space="preserve">年</t>
    </r>
  </si>
  <si>
    <r>
      <rPr>
        <b val="true"/>
        <sz val="10"/>
        <color rgb="FFFFFFFF"/>
        <rFont val="Noto Sans CJK SC"/>
        <family val="2"/>
        <charset val="1"/>
      </rPr>
      <t xml:space="preserve">第 </t>
    </r>
    <r>
      <rPr>
        <b val="true"/>
        <sz val="10"/>
        <color rgb="FFFFFFFF"/>
        <rFont val="Arial"/>
        <family val="0"/>
        <charset val="1"/>
      </rPr>
      <t xml:space="preserve">4 </t>
    </r>
    <r>
      <rPr>
        <b val="true"/>
        <sz val="10"/>
        <color rgb="FFFFFFFF"/>
        <rFont val="Noto Sans CJK SC"/>
        <family val="2"/>
        <charset val="1"/>
      </rPr>
      <t xml:space="preserve">年</t>
    </r>
  </si>
  <si>
    <r>
      <rPr>
        <b val="true"/>
        <sz val="10"/>
        <color rgb="FFFFFFFF"/>
        <rFont val="Noto Sans CJK SC"/>
        <family val="2"/>
        <charset val="1"/>
      </rPr>
      <t xml:space="preserve">第 </t>
    </r>
    <r>
      <rPr>
        <b val="true"/>
        <sz val="10"/>
        <color rgb="FFFFFFFF"/>
        <rFont val="Arial"/>
        <family val="0"/>
        <charset val="1"/>
      </rPr>
      <t xml:space="preserve">5 </t>
    </r>
    <r>
      <rPr>
        <b val="true"/>
        <sz val="10"/>
        <color rgb="FFFFFFFF"/>
        <rFont val="Noto Sans CJK SC"/>
        <family val="2"/>
        <charset val="1"/>
      </rPr>
      <t xml:space="preserve">年</t>
    </r>
  </si>
  <si>
    <r>
      <rPr>
        <b val="true"/>
        <sz val="10"/>
        <color rgb="FFFFFFFF"/>
        <rFont val="Noto Sans CJK SC"/>
        <family val="2"/>
        <charset val="1"/>
      </rPr>
      <t xml:space="preserve">第 </t>
    </r>
    <r>
      <rPr>
        <b val="true"/>
        <sz val="10"/>
        <color rgb="FFFFFFFF"/>
        <rFont val="Arial"/>
        <family val="0"/>
        <charset val="1"/>
      </rPr>
      <t xml:space="preserve">6 </t>
    </r>
    <r>
      <rPr>
        <b val="true"/>
        <sz val="10"/>
        <color rgb="FFFFFFFF"/>
        <rFont val="Noto Sans CJK SC"/>
        <family val="2"/>
        <charset val="1"/>
      </rPr>
      <t xml:space="preserve">年</t>
    </r>
  </si>
  <si>
    <r>
      <rPr>
        <b val="true"/>
        <sz val="10"/>
        <color rgb="FFFFFFFF"/>
        <rFont val="Noto Sans CJK SC"/>
        <family val="2"/>
        <charset val="1"/>
      </rPr>
      <t xml:space="preserve">第 </t>
    </r>
    <r>
      <rPr>
        <b val="true"/>
        <sz val="10"/>
        <color rgb="FFFFFFFF"/>
        <rFont val="Arial"/>
        <family val="0"/>
        <charset val="1"/>
      </rPr>
      <t xml:space="preserve">7 </t>
    </r>
    <r>
      <rPr>
        <b val="true"/>
        <sz val="10"/>
        <color rgb="FFFFFFFF"/>
        <rFont val="Noto Sans CJK SC"/>
        <family val="2"/>
        <charset val="1"/>
      </rPr>
      <t xml:space="preserve">年</t>
    </r>
  </si>
  <si>
    <r>
      <rPr>
        <b val="true"/>
        <sz val="10"/>
        <color rgb="FFFFFFFF"/>
        <rFont val="Noto Sans CJK SC"/>
        <family val="2"/>
        <charset val="1"/>
      </rPr>
      <t xml:space="preserve">第 </t>
    </r>
    <r>
      <rPr>
        <b val="true"/>
        <sz val="10"/>
        <color rgb="FFFFFFFF"/>
        <rFont val="Arial"/>
        <family val="0"/>
        <charset val="1"/>
      </rPr>
      <t xml:space="preserve">8 </t>
    </r>
    <r>
      <rPr>
        <b val="true"/>
        <sz val="10"/>
        <color rgb="FFFFFFFF"/>
        <rFont val="Noto Sans CJK SC"/>
        <family val="2"/>
        <charset val="1"/>
      </rPr>
      <t xml:space="preserve">年</t>
    </r>
  </si>
  <si>
    <t xml:space="preserve">自产占比</t>
  </si>
  <si>
    <t xml:space="preserve">第 3 年核对（应对齐 B9）</t>
  </si>
  <si>
    <t xml:space="preserve">国际市场与同业对标（测算口径，不写入对外文本）</t>
  </si>
  <si>
    <r>
      <rPr>
        <i val="true"/>
        <sz val="9"/>
        <color rgb="FF595959"/>
        <rFont val="Noto Sans CJK SC"/>
        <family val="2"/>
        <charset val="1"/>
      </rPr>
      <t xml:space="preserve">黄底为输入。海湾温控市场按美元口径折人民币。国内同业海外已形成规模、境外毛利高于境内；国际在位商仍主导房间级与顾问指定。本表只校准结构与市占，不把市场总额 </t>
    </r>
    <r>
      <rPr>
        <i val="true"/>
        <sz val="9"/>
        <color rgb="FF595959"/>
        <rFont val="Arial"/>
        <family val="0"/>
        <charset val="1"/>
      </rPr>
      <t xml:space="preserve">1:1 </t>
    </r>
    <r>
      <rPr>
        <i val="true"/>
        <sz val="9"/>
        <color rgb="FF595959"/>
        <rFont val="Noto Sans CJK SC"/>
        <family val="2"/>
        <charset val="1"/>
      </rPr>
      <t xml:space="preserve">写入投资 </t>
    </r>
    <r>
      <rPr>
        <i val="true"/>
        <sz val="9"/>
        <color rgb="FF595959"/>
        <rFont val="Arial"/>
        <family val="0"/>
        <charset val="1"/>
      </rPr>
      <t xml:space="preserve">IRR</t>
    </r>
    <r>
      <rPr>
        <i val="true"/>
        <sz val="9"/>
        <color rgb="FF595959"/>
        <rFont val="Noto Sans CJK SC"/>
        <family val="2"/>
        <charset val="1"/>
      </rPr>
      <t xml:space="preserve">。</t>
    </r>
  </si>
  <si>
    <t xml:space="preserve">一、海湾数据中心温控市场（万元）</t>
  </si>
  <si>
    <t xml:space="preserve">海湾温控市场</t>
  </si>
  <si>
    <t xml:space="preserve">约数；液冷份额单独下行</t>
  </si>
  <si>
    <t xml:space="preserve">其中液冷份额</t>
  </si>
  <si>
    <t xml:space="preserve">液冷市场</t>
  </si>
  <si>
    <t xml:space="preserve">占海湾温控市场</t>
  </si>
  <si>
    <t xml:space="preserve">通道自产温控</t>
  </si>
  <si>
    <t xml:space="preserve">自产占海湾温控市场</t>
  </si>
  <si>
    <t xml:space="preserve">二、同业海外已实现（最近一年，万元）</t>
  </si>
  <si>
    <t xml:space="preserve">对标对象</t>
  </si>
  <si>
    <t xml:space="preserve">海外营收</t>
  </si>
  <si>
    <t xml:space="preserve">海外占比</t>
  </si>
  <si>
    <t xml:space="preserve">对佳力图的含义</t>
  </si>
  <si>
    <t xml:space="preserve">国内同业 · 规模领先（直销为主）</t>
  </si>
  <si>
    <r>
      <rPr>
        <i val="true"/>
        <sz val="9"/>
        <color rgb="FF595959"/>
        <rFont val="Noto Sans CJK SC"/>
        <family val="2"/>
        <charset val="1"/>
      </rPr>
      <t xml:space="preserve">海外已近 </t>
    </r>
    <r>
      <rPr>
        <i val="true"/>
        <sz val="9"/>
        <color rgb="FF595959"/>
        <rFont val="Arial"/>
        <family val="0"/>
        <charset val="1"/>
      </rPr>
      <t xml:space="preserve">8.5 </t>
    </r>
    <r>
      <rPr>
        <i val="true"/>
        <sz val="9"/>
        <color rgb="FF595959"/>
        <rFont val="Noto Sans CJK SC"/>
        <family val="2"/>
        <charset val="1"/>
      </rPr>
      <t xml:space="preserve">亿元、境外毛利高于境内；佳力图第 </t>
    </r>
    <r>
      <rPr>
        <i val="true"/>
        <sz val="9"/>
        <color rgb="FF595959"/>
        <rFont val="Arial"/>
        <family val="0"/>
        <charset val="1"/>
      </rPr>
      <t xml:space="preserve">5 </t>
    </r>
    <r>
      <rPr>
        <i val="true"/>
        <sz val="9"/>
        <color rgb="FF595959"/>
        <rFont val="Noto Sans CJK SC"/>
        <family val="2"/>
        <charset val="1"/>
      </rPr>
      <t xml:space="preserve">年自产出口规划仍低于该水平</t>
    </r>
  </si>
  <si>
    <t xml:space="preserve">国内同业 · 数据中心设备</t>
  </si>
  <si>
    <t xml:space="preserve">海外从低基数快增，东南亚与北美均有突破</t>
  </si>
  <si>
    <t xml:space="preserve">国内同业 · 东南亚订单</t>
  </si>
  <si>
    <r>
      <rPr>
        <i val="true"/>
        <sz val="9"/>
        <color rgb="FF595959"/>
        <rFont val="Noto Sans CJK SC"/>
        <family val="2"/>
        <charset val="1"/>
      </rPr>
      <t xml:space="preserve">海外订单已过 </t>
    </r>
    <r>
      <rPr>
        <i val="true"/>
        <sz val="9"/>
        <color rgb="FF595959"/>
        <rFont val="Arial"/>
        <family val="0"/>
        <charset val="1"/>
      </rPr>
      <t xml:space="preserve">2 </t>
    </r>
    <r>
      <rPr>
        <i val="true"/>
        <sz val="9"/>
        <color rgb="FF595959"/>
        <rFont val="Noto Sans CJK SC"/>
        <family val="2"/>
        <charset val="1"/>
      </rPr>
      <t xml:space="preserve">亿元，马来西亚、泰国落地；自营切片应对齐东南亚液冷</t>
    </r>
  </si>
  <si>
    <t xml:space="preserve">佳力图（最近一年）</t>
  </si>
  <si>
    <r>
      <rPr>
        <i val="true"/>
        <sz val="9"/>
        <color rgb="FF595959"/>
        <rFont val="Noto Sans CJK SC"/>
        <family val="2"/>
        <charset val="1"/>
      </rPr>
      <t xml:space="preserve">境外约 </t>
    </r>
    <r>
      <rPr>
        <i val="true"/>
        <sz val="9"/>
        <color rgb="FF595959"/>
        <rFont val="Arial"/>
        <family val="0"/>
        <charset val="1"/>
      </rPr>
      <t xml:space="preserve">1%</t>
    </r>
    <r>
      <rPr>
        <i val="true"/>
        <sz val="9"/>
        <color rgb="FF595959"/>
        <rFont val="Noto Sans CJK SC"/>
        <family val="2"/>
        <charset val="1"/>
      </rPr>
      <t xml:space="preserve">，结构以传统风冷为主，毛利承压大于同业</t>
    </r>
  </si>
  <si>
    <t xml:space="preserve">三、竞争站位（对测算的约束）</t>
  </si>
  <si>
    <r>
      <rPr>
        <i val="true"/>
        <sz val="9"/>
        <color rgb="FF595959"/>
        <rFont val="Arial"/>
        <family val="0"/>
        <charset val="1"/>
      </rPr>
      <t xml:space="preserve">1. </t>
    </r>
    <r>
      <rPr>
        <i val="true"/>
        <sz val="9"/>
        <color rgb="FF595959"/>
        <rFont val="Noto Sans CJK SC"/>
        <family val="2"/>
        <charset val="1"/>
      </rPr>
      <t xml:space="preserve">海湾房间级与顾问目录仍由国际在位系统商主导，精密空调不按份额扩张，贡献利润率低于液冷。
</t>
    </r>
    <r>
      <rPr>
        <i val="true"/>
        <sz val="9"/>
        <color rgb="FF595959"/>
        <rFont val="Arial"/>
        <family val="0"/>
        <charset val="1"/>
      </rPr>
      <t xml:space="preserve">2. </t>
    </r>
    <r>
      <rPr>
        <i val="true"/>
        <sz val="9"/>
        <color rgb="FF595959"/>
        <rFont val="Noto Sans CJK SC"/>
        <family val="2"/>
        <charset val="1"/>
      </rPr>
      <t xml:space="preserve">液冷与集装箱／预制冷站是可切入窗口：高密机柜、节水与高温工况改变指定习惯。
</t>
    </r>
    <r>
      <rPr>
        <i val="true"/>
        <sz val="9"/>
        <color rgb="FF595959"/>
        <rFont val="Arial"/>
        <family val="0"/>
        <charset val="1"/>
      </rPr>
      <t xml:space="preserve">3. </t>
    </r>
    <r>
      <rPr>
        <i val="true"/>
        <sz val="9"/>
        <color rgb="FF595959"/>
        <rFont val="Noto Sans CJK SC"/>
        <family val="2"/>
        <charset val="1"/>
      </rPr>
      <t xml:space="preserve">国内同业已用直销＋属地伙伴拿下东南亚，并以储能高温机组试探海湾；佳力图用少数股权换年框，补的是通道而不是再铺直销网。
</t>
    </r>
    <r>
      <rPr>
        <i val="true"/>
        <sz val="9"/>
        <color rgb="FF595959"/>
        <rFont val="Arial"/>
        <family val="0"/>
        <charset val="1"/>
      </rPr>
      <t xml:space="preserve">4. </t>
    </r>
    <r>
      <rPr>
        <i val="true"/>
        <sz val="9"/>
        <color rgb="FF595959"/>
        <rFont val="Noto Sans CJK SC"/>
        <family val="2"/>
        <charset val="1"/>
      </rPr>
      <t xml:space="preserve">同业海外毛利高于国内，但佳力图协同利润仍只计自产与自营切片，系统集成不进毛利，避免把合同额做成 </t>
    </r>
    <r>
      <rPr>
        <i val="true"/>
        <sz val="9"/>
        <color rgb="FF595959"/>
        <rFont val="Arial"/>
        <family val="0"/>
        <charset val="1"/>
      </rPr>
      <t xml:space="preserve">IRR</t>
    </r>
    <r>
      <rPr>
        <i val="true"/>
        <sz val="9"/>
        <color rgb="FF595959"/>
        <rFont val="Noto Sans CJK SC"/>
        <family val="2"/>
        <charset val="1"/>
      </rPr>
      <t xml:space="preserve">。
</t>
    </r>
    <r>
      <rPr>
        <i val="true"/>
        <sz val="9"/>
        <color rgb="FF595959"/>
        <rFont val="Arial"/>
        <family val="0"/>
        <charset val="1"/>
      </rPr>
      <t xml:space="preserve">5. </t>
    </r>
    <r>
      <rPr>
        <i val="true"/>
        <sz val="9"/>
        <color rgb="FF595959"/>
        <rFont val="Noto Sans CJK SC"/>
        <family val="2"/>
        <charset val="1"/>
      </rPr>
      <t xml:space="preserve">第 </t>
    </r>
    <r>
      <rPr>
        <i val="true"/>
        <sz val="9"/>
        <color rgb="FF595959"/>
        <rFont val="Arial"/>
        <family val="0"/>
        <charset val="1"/>
      </rPr>
      <t xml:space="preserve">3 </t>
    </r>
    <r>
      <rPr>
        <i val="true"/>
        <sz val="9"/>
        <color rgb="FF595959"/>
        <rFont val="Noto Sans CJK SC"/>
        <family val="2"/>
        <charset val="1"/>
      </rPr>
      <t xml:space="preserve">年通道年框 </t>
    </r>
    <r>
      <rPr>
        <i val="true"/>
        <sz val="9"/>
        <color rgb="FF595959"/>
        <rFont val="Arial"/>
        <family val="0"/>
        <charset val="1"/>
      </rPr>
      <t xml:space="preserve">2.46 </t>
    </r>
    <r>
      <rPr>
        <i val="true"/>
        <sz val="9"/>
        <color rgb="FF595959"/>
        <rFont val="Noto Sans CJK SC"/>
        <family val="2"/>
        <charset val="1"/>
      </rPr>
      <t xml:space="preserve">亿元、自产约 </t>
    </r>
    <r>
      <rPr>
        <i val="true"/>
        <sz val="9"/>
        <color rgb="FF595959"/>
        <rFont val="Arial"/>
        <family val="0"/>
        <charset val="1"/>
      </rPr>
      <t xml:space="preserve">0.9 </t>
    </r>
    <r>
      <rPr>
        <i val="true"/>
        <sz val="9"/>
        <color rgb="FF595959"/>
        <rFont val="Noto Sans CJK SC"/>
        <family val="2"/>
        <charset val="1"/>
      </rPr>
      <t xml:space="preserve">亿元，占海湾温控市场约 </t>
    </r>
    <r>
      <rPr>
        <i val="true"/>
        <sz val="9"/>
        <color rgb="FF595959"/>
        <rFont val="Arial"/>
        <family val="0"/>
        <charset val="1"/>
      </rPr>
      <t xml:space="preserve">5%</t>
    </r>
    <r>
      <rPr>
        <i val="true"/>
        <sz val="9"/>
        <color rgb="FF595959"/>
        <rFont val="Noto Sans CJK SC"/>
        <family val="2"/>
        <charset val="1"/>
      </rPr>
      <t xml:space="preserve">／</t>
    </r>
    <r>
      <rPr>
        <i val="true"/>
        <sz val="9"/>
        <color rgb="FF595959"/>
        <rFont val="Arial"/>
        <family val="0"/>
        <charset val="1"/>
      </rPr>
      <t xml:space="preserve">2%</t>
    </r>
    <r>
      <rPr>
        <i val="true"/>
        <sz val="9"/>
        <color rgb="FF595959"/>
        <rFont val="Noto Sans CJK SC"/>
        <family val="2"/>
        <charset val="1"/>
      </rPr>
      <t xml:space="preserve">，低于国际在位商，可执行。</t>
    </r>
  </si>
  <si>
    <r>
      <rPr>
        <b val="true"/>
        <sz val="14"/>
        <color rgb="FF16304F"/>
        <rFont val="Noto Sans CJK SC"/>
        <family val="2"/>
        <charset val="1"/>
      </rPr>
      <t xml:space="preserve">销售测算（基准）</t>
    </r>
    <r>
      <rPr>
        <b val="true"/>
        <sz val="14"/>
        <color rgb="FF16304F"/>
        <rFont val="Arial"/>
        <family val="0"/>
        <charset val="1"/>
      </rPr>
      <t xml:space="preserve">· </t>
    </r>
    <r>
      <rPr>
        <b val="true"/>
        <sz val="14"/>
        <color rgb="FF16304F"/>
        <rFont val="Noto Sans CJK SC"/>
        <family val="2"/>
        <charset val="1"/>
      </rPr>
      <t xml:space="preserve">市占、产品线、客户与回款</t>
    </r>
  </si>
  <si>
    <r>
      <rPr>
        <i val="true"/>
        <sz val="9"/>
        <color rgb="FF595959"/>
        <rFont val="Noto Sans CJK SC"/>
        <family val="2"/>
        <charset val="1"/>
      </rPr>
      <t xml:space="preserve">金额万元。第 </t>
    </r>
    <r>
      <rPr>
        <i val="true"/>
        <sz val="9"/>
        <color rgb="FF595959"/>
        <rFont val="Arial"/>
        <family val="0"/>
        <charset val="1"/>
      </rPr>
      <t xml:space="preserve">3 </t>
    </r>
    <r>
      <rPr>
        <i val="true"/>
        <sz val="9"/>
        <color rgb="FF595959"/>
        <rFont val="Noto Sans CJK SC"/>
        <family val="2"/>
        <charset val="1"/>
      </rPr>
      <t xml:space="preserve">年列为锁定年框。产品线来自「按产品线」；市场来自「市场与对标」。财务利润见「协同利润」「综合收益」。</t>
    </r>
  </si>
  <si>
    <t xml:space="preserve">一、通道销售与市占</t>
  </si>
  <si>
    <r>
      <rPr>
        <b val="true"/>
        <sz val="10"/>
        <color rgb="FFFFFFFF"/>
        <rFont val="Arial"/>
        <family val="0"/>
        <charset val="1"/>
      </rPr>
      <t xml:space="preserve">8 </t>
    </r>
    <r>
      <rPr>
        <b val="true"/>
        <sz val="10"/>
        <color rgb="FFFFFFFF"/>
        <rFont val="Noto Sans CJK SC"/>
        <family val="2"/>
        <charset val="1"/>
      </rPr>
      <t xml:space="preserve">年累计</t>
    </r>
  </si>
  <si>
    <t xml:space="preserve">系统集成供货</t>
  </si>
  <si>
    <r>
      <rPr>
        <sz val="10"/>
        <color rgb="FF000000"/>
        <rFont val="Noto Sans CJK SC"/>
        <family val="2"/>
        <charset val="1"/>
      </rPr>
      <t xml:space="preserve">佳力图产品收入（自产</t>
    </r>
    <r>
      <rPr>
        <sz val="10"/>
        <color rgb="FF000000"/>
        <rFont val="Arial"/>
        <family val="0"/>
        <charset val="1"/>
      </rPr>
      <t xml:space="preserve">+</t>
    </r>
    <r>
      <rPr>
        <sz val="10"/>
        <color rgb="FF000000"/>
        <rFont val="Noto Sans CJK SC"/>
        <family val="2"/>
        <charset val="1"/>
      </rPr>
      <t xml:space="preserve">自营）</t>
    </r>
  </si>
  <si>
    <r>
      <rPr>
        <b val="true"/>
        <sz val="11"/>
        <color rgb="FF16304F"/>
        <rFont val="Noto Sans CJK SC"/>
        <family val="2"/>
        <charset val="1"/>
      </rPr>
      <t xml:space="preserve">二、佳力图产品线销售（通道自产 </t>
    </r>
    <r>
      <rPr>
        <b val="true"/>
        <sz val="11"/>
        <color rgb="FF16304F"/>
        <rFont val="Arial"/>
        <family val="0"/>
        <charset val="1"/>
      </rPr>
      <t xml:space="preserve">+ </t>
    </r>
    <r>
      <rPr>
        <b val="true"/>
        <sz val="11"/>
        <color rgb="FF16304F"/>
        <rFont val="Noto Sans CJK SC"/>
        <family val="2"/>
        <charset val="1"/>
      </rPr>
      <t xml:space="preserve">海外自营）</t>
    </r>
  </si>
  <si>
    <t xml:space="preserve">产品线</t>
  </si>
  <si>
    <r>
      <rPr>
        <b val="true"/>
        <sz val="10"/>
        <color rgb="FFFFFFFF"/>
        <rFont val="Noto Sans CJK SC"/>
        <family val="2"/>
        <charset val="1"/>
      </rPr>
      <t xml:space="preserve">第 </t>
    </r>
    <r>
      <rPr>
        <b val="true"/>
        <sz val="10"/>
        <color rgb="FFFFFFFF"/>
        <rFont val="Arial"/>
        <family val="0"/>
        <charset val="1"/>
      </rPr>
      <t xml:space="preserve">3 </t>
    </r>
    <r>
      <rPr>
        <b val="true"/>
        <sz val="10"/>
        <color rgb="FFFFFFFF"/>
        <rFont val="Noto Sans CJK SC"/>
        <family val="2"/>
        <charset val="1"/>
      </rPr>
      <t xml:space="preserve">年占比</t>
    </r>
  </si>
  <si>
    <t xml:space="preserve">精密空调</t>
  </si>
  <si>
    <t xml:space="preserve">液冷</t>
  </si>
  <si>
    <t xml:space="preserve">智能冷站与微模块</t>
  </si>
  <si>
    <r>
      <rPr>
        <b val="true"/>
        <sz val="11"/>
        <color rgb="FF16304F"/>
        <rFont val="Noto Sans CJK SC"/>
        <family val="2"/>
        <charset val="1"/>
      </rPr>
      <t xml:space="preserve">三、回款与营运资金（不进 </t>
    </r>
    <r>
      <rPr>
        <b val="true"/>
        <sz val="11"/>
        <color rgb="FF16304F"/>
        <rFont val="Arial"/>
        <family val="0"/>
        <charset val="1"/>
      </rPr>
      <t xml:space="preserve">IRR</t>
    </r>
    <r>
      <rPr>
        <b val="true"/>
        <sz val="11"/>
        <color rgb="FF16304F"/>
        <rFont val="Noto Sans CJK SC"/>
        <family val="2"/>
        <charset val="1"/>
      </rPr>
      <t xml:space="preserve">，只约束现金）</t>
    </r>
  </si>
  <si>
    <t xml:space="preserve">开发商年框预收／里程碑</t>
  </si>
  <si>
    <t xml:space="preserve">首期覆盖设备与海运，其余按节点</t>
  </si>
  <si>
    <t xml:space="preserve">工程总承包方账期</t>
  </si>
  <si>
    <t xml:space="preserve">天</t>
  </si>
  <si>
    <t xml:space="preserve">不长于国际在位商常见工程账期</t>
  </si>
  <si>
    <t xml:space="preserve">埃及／北非结算</t>
  </si>
  <si>
    <t xml:space="preserve">预付或信用证</t>
  </si>
  <si>
    <t xml:space="preserve">—</t>
  </si>
  <si>
    <t xml:space="preserve">不与海湾同一账期</t>
  </si>
  <si>
    <t xml:space="preserve">营运资金占用率（通道年单）</t>
  </si>
  <si>
    <r>
      <rPr>
        <i val="true"/>
        <sz val="9"/>
        <color rgb="FF595959"/>
        <rFont val="Noto Sans CJK SC"/>
        <family val="2"/>
        <charset val="1"/>
      </rPr>
      <t xml:space="preserve">集成过手放大应收；低于战略规划第 </t>
    </r>
    <r>
      <rPr>
        <i val="true"/>
        <sz val="9"/>
        <color rgb="FF595959"/>
        <rFont val="Arial"/>
        <family val="0"/>
        <charset val="1"/>
      </rPr>
      <t xml:space="preserve">5 </t>
    </r>
    <r>
      <rPr>
        <i val="true"/>
        <sz val="9"/>
        <color rgb="FF595959"/>
        <rFont val="Noto Sans CJK SC"/>
        <family val="2"/>
        <charset val="1"/>
      </rPr>
      <t xml:space="preserve">年全盘 </t>
    </r>
    <r>
      <rPr>
        <i val="true"/>
        <sz val="9"/>
        <color rgb="FF595959"/>
        <rFont val="Arial"/>
        <family val="0"/>
        <charset val="1"/>
      </rPr>
      <t xml:space="preserve">3.36 </t>
    </r>
    <r>
      <rPr>
        <i val="true"/>
        <sz val="9"/>
        <color rgb="FF595959"/>
        <rFont val="Noto Sans CJK SC"/>
        <family val="2"/>
        <charset val="1"/>
      </rPr>
      <t xml:space="preserve">亿约束</t>
    </r>
  </si>
  <si>
    <t xml:space="preserve">通道营运资金（逐年）</t>
  </si>
  <si>
    <t xml:space="preserve">占用</t>
  </si>
  <si>
    <t xml:space="preserve">当年增量</t>
  </si>
  <si>
    <r>
      <rPr>
        <b val="true"/>
        <sz val="11"/>
        <color rgb="FF16304F"/>
        <rFont val="Noto Sans CJK SC"/>
        <family val="2"/>
        <charset val="1"/>
      </rPr>
      <t xml:space="preserve">四、与同业对照（第 </t>
    </r>
    <r>
      <rPr>
        <b val="true"/>
        <sz val="11"/>
        <color rgb="FF16304F"/>
        <rFont val="Arial"/>
        <family val="0"/>
        <charset val="1"/>
      </rPr>
      <t xml:space="preserve">5 </t>
    </r>
    <r>
      <rPr>
        <b val="true"/>
        <sz val="11"/>
        <color rgb="FF16304F"/>
        <rFont val="Noto Sans CJK SC"/>
        <family val="2"/>
        <charset val="1"/>
      </rPr>
      <t xml:space="preserve">年）</t>
    </r>
  </si>
  <si>
    <t xml:space="preserve">金额</t>
  </si>
  <si>
    <t xml:space="preserve">对照</t>
  </si>
  <si>
    <t xml:space="preserve">通道自产第 5 年</t>
  </si>
  <si>
    <r>
      <rPr>
        <i val="true"/>
        <sz val="9"/>
        <color rgb="FF595959"/>
        <rFont val="Noto Sans CJK SC"/>
        <family val="2"/>
        <charset val="1"/>
      </rPr>
      <t xml:space="preserve">低于国内同业已实现海外营收（市场与对标</t>
    </r>
    <r>
      <rPr>
        <i val="true"/>
        <sz val="9"/>
        <color rgb="FF595959"/>
        <rFont val="Arial"/>
        <family val="0"/>
        <charset val="1"/>
      </rPr>
      <t xml:space="preserve">!B16</t>
    </r>
    <r>
      <rPr>
        <i val="true"/>
        <sz val="9"/>
        <color rgb="FF595959"/>
        <rFont val="Noto Sans CJK SC"/>
        <family val="2"/>
        <charset val="1"/>
      </rPr>
      <t xml:space="preserve">）</t>
    </r>
  </si>
  <si>
    <t xml:space="preserve">佳力图产品第 5 年（自产+自营）</t>
  </si>
  <si>
    <t xml:space="preserve">仍低于规模领先同业最近一年海外</t>
  </si>
  <si>
    <t xml:space="preserve">全球战略第 5 年自产出口上限</t>
  </si>
  <si>
    <t xml:space="preserve">通道自产须落在此上限之内</t>
  </si>
  <si>
    <t xml:space="preserve">通道自产 / 自产出口上限</t>
  </si>
  <si>
    <t xml:space="preserve">通道只切海湾一截，不吃掉全部出口规划</t>
  </si>
  <si>
    <t xml:space="preserve">精密空调不按市占扩张。液冷与冷站抬升自产占比和贡献利润。系统集成做合同额、不做毛利。</t>
  </si>
  <si>
    <t xml:space="preserve">通道系统年单（合同额）</t>
  </si>
  <si>
    <t xml:space="preserve">第 3 年一列为「锁定年框」。8 年累计见最右列。审慎/乐观 = 基准 × 假设!B16/D16。</t>
  </si>
  <si>
    <t xml:space="preserve">基准 · 通道年单</t>
  </si>
  <si>
    <t xml:space="preserve">审慎 · 通道年单</t>
  </si>
  <si>
    <t xml:space="preserve">乐观 · 通道年单</t>
  </si>
  <si>
    <t xml:space="preserve">其中自产温控（基准）</t>
  </si>
  <si>
    <t xml:space="preserve">第 3 年起年框（亿元）</t>
  </si>
  <si>
    <t xml:space="preserve">核对</t>
  </si>
  <si>
    <t xml:space="preserve">基准 8 年累计（亿元）</t>
  </si>
  <si>
    <t xml:space="preserve">旧稿误写（亿元）</t>
  </si>
  <si>
    <t xml:space="preserve">旧小盘 8 年合计 17,280 万；不得再写入「锁定年框」。</t>
  </si>
  <si>
    <t xml:space="preserve">结构拆分见「年单明细」「按渠道」「按场景」「按客户」「产品结构」「按产品线」。第 3 年列=锁定年框。</t>
  </si>
  <si>
    <t xml:space="preserve">通道年单与海外自营 · 按渠道 × 场景 × 客户类型拆分</t>
  </si>
  <si>
    <t xml:space="preserve">单位：人民币万元。蓝色+黄底为份额输入（前期=第 1–2 年，成熟=第 3–8 年）。客户列为采购方类型，不列具体总包或业主。通道行挂钩「通道年单」基准；自营行挂钩「假设」海外自营切片。改份额后三张透视表自动刷新。份额须各自加总为 100%。不构成收益承诺。</t>
  </si>
  <si>
    <t xml:space="preserve">一、拆分明细（每行一条可执行组合）</t>
  </si>
  <si>
    <t xml:space="preserve">来源</t>
  </si>
  <si>
    <t xml:space="preserve">渠道</t>
  </si>
  <si>
    <t xml:space="preserve">场景</t>
  </si>
  <si>
    <t xml:space="preserve">客户类型</t>
  </si>
  <si>
    <t xml:space="preserve">前期份额</t>
  </si>
  <si>
    <t xml:space="preserve">成熟份额</t>
  </si>
  <si>
    <t xml:space="preserve">第 3 年年框</t>
  </si>
  <si>
    <t xml:space="preserve">其中自产</t>
  </si>
  <si>
    <t xml:space="preserve">通道</t>
  </si>
  <si>
    <t xml:space="preserve">工程集采年框</t>
  </si>
  <si>
    <t xml:space="preserve">高温智算液冷机房</t>
  </si>
  <si>
    <t xml:space="preserve">数据中心开发商</t>
  </si>
  <si>
    <t xml:space="preserve">智算年框：开发商指定液冷，国际在位商房间级优势较弱</t>
  </si>
  <si>
    <t xml:space="preserve">新建数据中心精密空调</t>
  </si>
  <si>
    <t xml:space="preserve">同名录续签房间级／列间</t>
  </si>
  <si>
    <t xml:space="preserve">商业综合体机房</t>
  </si>
  <si>
    <t xml:space="preserve">工程总承包方</t>
  </si>
  <si>
    <t xml:space="preserve">总包集采清单内的机房段</t>
  </si>
  <si>
    <t xml:space="preserve">机电／数据中心工程代理</t>
  </si>
  <si>
    <t xml:space="preserve">海湾机电代理带总包现场</t>
  </si>
  <si>
    <t xml:space="preserve">代理转总包采购</t>
  </si>
  <si>
    <t xml:space="preserve">集装箱液冷／预制冷站</t>
  </si>
  <si>
    <t xml:space="preserve">集装箱液冷／预制冷站：单位项目价值高，作海湾入口</t>
  </si>
  <si>
    <t xml:space="preserve">项目制投标</t>
  </si>
  <si>
    <t xml:space="preserve">前期以单项目验证交付</t>
  </si>
  <si>
    <t xml:space="preserve">产业园区标准机房</t>
  </si>
  <si>
    <t xml:space="preserve">产业园区开发商</t>
  </si>
  <si>
    <t xml:space="preserve">标准机复制，账期短于智算</t>
  </si>
  <si>
    <t xml:space="preserve">综合体机电分包</t>
  </si>
  <si>
    <t xml:space="preserve">区域经销</t>
  </si>
  <si>
    <t xml:space="preserve">机电顾问／系统商</t>
  </si>
  <si>
    <t xml:space="preserve">顾问指定 CDU／列间后的经销出货，不靠零售</t>
  </si>
  <si>
    <t xml:space="preserve">自营</t>
  </si>
  <si>
    <t xml:space="preserve">区域运营商</t>
  </si>
  <si>
    <t xml:space="preserve">东南亚调试伙伴带运营商</t>
  </si>
  <si>
    <t xml:space="preserve">东南亚／中亚年框切片</t>
  </si>
  <si>
    <t xml:space="preserve">系统商 OEM</t>
  </si>
  <si>
    <t xml:space="preserve">东南亚／欧洲：国内同业已走系统商与属地伙伴，自营跟液冷</t>
  </si>
  <si>
    <t xml:space="preserve">液冷与冷站先行，房间级不与国际在位商品牌硬拼</t>
  </si>
  <si>
    <t xml:space="preserve">非本通道海湾／埃及项目制</t>
  </si>
  <si>
    <t xml:space="preserve">区域开发商直接年框，不经胜阳山</t>
  </si>
  <si>
    <t xml:space="preserve">二、份额核对（须为 100%）</t>
  </si>
  <si>
    <t xml:space="preserve">前期份额合计</t>
  </si>
  <si>
    <t xml:space="preserve">成熟份额合计</t>
  </si>
  <si>
    <t xml:space="preserve">判定</t>
  </si>
  <si>
    <t xml:space="preserve">三、金额核对（拆分合计须等于总表）</t>
  </si>
  <si>
    <t xml:space="preserve">通道 · 明细合计</t>
  </si>
  <si>
    <t xml:space="preserve">通道 · 总表基准</t>
  </si>
  <si>
    <t xml:space="preserve">通道 · 差额</t>
  </si>
  <si>
    <t xml:space="preserve">自营 · 明细合计</t>
  </si>
  <si>
    <t xml:space="preserve">自营 · 总表切片</t>
  </si>
  <si>
    <t xml:space="preserve">自营 · 差额</t>
  </si>
  <si>
    <t xml:space="preserve">编辑说明：只改 E、F 两列份额。第 3 年列即「锁定年框」的结构，不是 8 年合计数。ROUND 逐行取整，差额通常在 ±数万元，属四舍五入。</t>
  </si>
  <si>
    <t xml:space="preserve">基准通道年单与海外自营 · 按渠道汇总</t>
  </si>
  <si>
    <t xml:space="preserve">工程集采年框是第 3 年起锁定年框的主通道；前期以项目制投标与机电代理验证交付。系统商 OEM 主要落在海外自营。</t>
  </si>
  <si>
    <t xml:space="preserve">一、胜阳山通道年单（系统合同额）</t>
  </si>
  <si>
    <t xml:space="preserve">第 3 年占比</t>
  </si>
  <si>
    <t xml:space="preserve">小计</t>
  </si>
  <si>
    <t xml:space="preserve">二、佳力图海外自营（可归因切片）</t>
  </si>
  <si>
    <t xml:space="preserve">三、通道 + 自营（仅供对照；利润仍按总表口径，不按本表加总重算 IRR）</t>
  </si>
  <si>
    <t xml:space="preserve">第 3 年列（浅底）即锁定年框的结构。改「年单明细」E/F 列后本表自动刷新。</t>
  </si>
  <si>
    <t xml:space="preserve">基准通道年单与海外自营 · 按场景汇总</t>
  </si>
  <si>
    <t xml:space="preserve">海湾通道以高温智算液冷与新建数据中心为主；集装箱液冷／预制冷站作单位项目价值入口。产业园区标准机房多在自营切片。</t>
  </si>
  <si>
    <t xml:space="preserve">基准通道年单与海外自营 · 按客户类型汇总</t>
  </si>
  <si>
    <t xml:space="preserve">客户为采购方类型，不列具体总包或业主名称。通道侧以数据中心开发商与工程总承包方为主；自营侧补区域运营商与系统商。</t>
  </si>
  <si>
    <t xml:space="preserve">佳力图自产温控 · 产品线结构（按场景）</t>
  </si>
  <si>
    <t xml:space="preserve">结构占该场景自产，不占系统合同额。已按海湾液冷份额上升、国际在位商仍占房间级重切：智算以液冷为主，新建机房提高液冷与冷站，房间级不作为与国际品牌对打的主力。机房系统交付不是第四条产品线。</t>
  </si>
  <si>
    <t xml:space="preserve">一、各场景的自产产品结构</t>
  </si>
  <si>
    <t xml:space="preserve">海湾智算以液冷为主，精密空调作房间级备份</t>
  </si>
  <si>
    <t xml:space="preserve">列间／房间级基本盘，液冷与冷站随功率密度上升</t>
  </si>
  <si>
    <t xml:space="preserve">以精密空调为主，冷站随项目打包</t>
  </si>
  <si>
    <t xml:space="preserve">标准机复制，液冷占比较低</t>
  </si>
  <si>
    <t xml:space="preserve">集装箱液冷与预制冷站为主，精密空调只作接口配套</t>
  </si>
  <si>
    <t xml:space="preserve">二、口径</t>
  </si>
  <si>
    <r>
      <rPr>
        <i val="true"/>
        <sz val="9"/>
        <color rgb="FF595959"/>
        <rFont val="Arial"/>
        <family val="0"/>
        <charset val="1"/>
      </rPr>
      <t xml:space="preserve">1. </t>
    </r>
    <r>
      <rPr>
        <i val="true"/>
        <sz val="9"/>
        <color rgb="FF595959"/>
        <rFont val="Noto Sans CJK SC"/>
        <family val="2"/>
        <charset val="1"/>
      </rPr>
      <t xml:space="preserve">上表只拆自产温控。通道系统年单中约 </t>
    </r>
    <r>
      <rPr>
        <i val="true"/>
        <sz val="9"/>
        <color rgb="FF595959"/>
        <rFont val="Arial"/>
        <family val="0"/>
        <charset val="1"/>
      </rPr>
      <t xml:space="preserve">38% </t>
    </r>
    <r>
      <rPr>
        <i val="true"/>
        <sz val="9"/>
        <color rgb="FF595959"/>
        <rFont val="Noto Sans CJK SC"/>
        <family val="2"/>
        <charset val="1"/>
      </rPr>
      <t xml:space="preserve">为自产（假设</t>
    </r>
    <r>
      <rPr>
        <i val="true"/>
        <sz val="9"/>
        <color rgb="FF595959"/>
        <rFont val="Arial"/>
        <family val="0"/>
        <charset val="1"/>
      </rPr>
      <t xml:space="preserve">!B9</t>
    </r>
    <r>
      <rPr>
        <i val="true"/>
        <sz val="9"/>
        <color rgb="FF595959"/>
        <rFont val="Noto Sans CJK SC"/>
        <family val="2"/>
        <charset val="1"/>
      </rPr>
      <t xml:space="preserve">），其余为系统集成供货，不计入产品线。
</t>
    </r>
    <r>
      <rPr>
        <i val="true"/>
        <sz val="9"/>
        <color rgb="FF595959"/>
        <rFont val="Arial"/>
        <family val="0"/>
        <charset val="1"/>
      </rPr>
      <t xml:space="preserve">2. </t>
    </r>
    <r>
      <rPr>
        <i val="true"/>
        <sz val="9"/>
        <color rgb="FF595959"/>
        <rFont val="Noto Sans CJK SC"/>
        <family val="2"/>
        <charset val="1"/>
      </rPr>
      <t xml:space="preserve">海外自营切片全部视为佳力图产品收入，按同一场景结构拆到三条产品线。
</t>
    </r>
    <r>
      <rPr>
        <i val="true"/>
        <sz val="9"/>
        <color rgb="FF595959"/>
        <rFont val="Arial"/>
        <family val="0"/>
        <charset val="1"/>
      </rPr>
      <t xml:space="preserve">3. </t>
    </r>
    <r>
      <rPr>
        <i val="true"/>
        <sz val="9"/>
        <color rgb="FF595959"/>
        <rFont val="Noto Sans CJK SC"/>
        <family val="2"/>
        <charset val="1"/>
      </rPr>
      <t xml:space="preserve">行顺序须与「按场景」一致，便于核对；公式用 </t>
    </r>
    <r>
      <rPr>
        <i val="true"/>
        <sz val="9"/>
        <color rgb="FF595959"/>
        <rFont val="Arial"/>
        <family val="0"/>
        <charset val="1"/>
      </rPr>
      <t xml:space="preserve">MATCH </t>
    </r>
    <r>
      <rPr>
        <i val="true"/>
        <sz val="9"/>
        <color rgb="FF595959"/>
        <rFont val="Noto Sans CJK SC"/>
        <family val="2"/>
        <charset val="1"/>
      </rPr>
      <t xml:space="preserve">按场景名称取数，改名称须两表同时改。
</t>
    </r>
    <r>
      <rPr>
        <i val="true"/>
        <sz val="9"/>
        <color rgb="FF595959"/>
        <rFont val="Arial"/>
        <family val="0"/>
        <charset val="1"/>
      </rPr>
      <t xml:space="preserve">4. </t>
    </r>
    <r>
      <rPr>
        <i val="true"/>
        <sz val="9"/>
        <color rgb="FF595959"/>
        <rFont val="Noto Sans CJK SC"/>
        <family val="2"/>
        <charset val="1"/>
      </rPr>
      <t xml:space="preserve">改本表黄底后，「按产品线」自动刷新。协同利润与 </t>
    </r>
    <r>
      <rPr>
        <i val="true"/>
        <sz val="9"/>
        <color rgb="FF595959"/>
        <rFont val="Arial"/>
        <family val="0"/>
        <charset val="1"/>
      </rPr>
      <t xml:space="preserve">IRR </t>
    </r>
    <r>
      <rPr>
        <i val="true"/>
        <sz val="9"/>
        <color rgb="FF595959"/>
        <rFont val="Noto Sans CJK SC"/>
        <family val="2"/>
        <charset val="1"/>
      </rPr>
      <t xml:space="preserve">仍按总表，不按产品线重算。</t>
    </r>
  </si>
  <si>
    <t xml:space="preserve">基准 · 按佳力图产品线汇总</t>
  </si>
  <si>
    <t xml:space="preserve">精密空调、液冷、智能冷站与微模块为产品线。系统集成供货是交付口径，不是第四条产品线。通道自产 = 该场景通道年单 × 自产占比 × 产品结构；自营按场景结构全额计入产品线。</t>
  </si>
  <si>
    <t xml:space="preserve">一、胜阳山通道 · 自产温控（合同额 × 自产占比 × 产品结构）</t>
  </si>
  <si>
    <t xml:space="preserve">小计 · 自产温控</t>
  </si>
  <si>
    <t xml:space="preserve">对照 · 通道系统集成供货（非产品线）</t>
  </si>
  <si>
    <t xml:space="preserve">口径</t>
  </si>
  <si>
    <t xml:space="preserve">占通道年单</t>
  </si>
  <si>
    <t xml:space="preserve">通道年单（核对）</t>
  </si>
  <si>
    <t xml:space="preserve">二、佳力图海外自营（可归因切片，按同一产品结构）</t>
  </si>
  <si>
    <t xml:space="preserve">三、佳力图产品收入合计（通道自产 + 海外自营；不含系统集成）</t>
  </si>
  <si>
    <t xml:space="preserve">合计 · 佳力图产品</t>
  </si>
  <si>
    <t xml:space="preserve">四、与总表核对</t>
  </si>
  <si>
    <t xml:space="preserve">通道自产 · 本表小计</t>
  </si>
  <si>
    <t xml:space="preserve">通道自产 · 协同利润</t>
  </si>
  <si>
    <t xml:space="preserve">通道自产 · 差额</t>
  </si>
  <si>
    <t xml:space="preserve">海外自营 · 本表小计</t>
  </si>
  <si>
    <t xml:space="preserve">海外自营 · 总表切片</t>
  </si>
  <si>
    <t xml:space="preserve">海外自营 · 差额</t>
  </si>
  <si>
    <t xml:space="preserve">第 3 年列（浅底）对应锁定年框。差额来自按场景四舍五入，通常为数万元。改「产品结构」黄底或「年单明细」份额后本表自动刷新。协同利润与 IRR 不按产品线重算。</t>
  </si>
  <si>
    <t xml:space="preserve">战略协同利润（基准）</t>
  </si>
  <si>
    <r>
      <rPr>
        <i val="true"/>
        <sz val="9"/>
        <color rgb="FF595959"/>
        <rFont val="Noto Sans CJK SC"/>
        <family val="2"/>
        <charset val="1"/>
      </rPr>
      <t xml:space="preserve">利润按产品线：精密空调／液冷／冷站分列贡献利润率；系统集成不计入毛利。自产占比用假设第 </t>
    </r>
    <r>
      <rPr>
        <i val="true"/>
        <sz val="9"/>
        <color rgb="FF595959"/>
        <rFont val="Arial"/>
        <family val="0"/>
        <charset val="1"/>
      </rPr>
      <t xml:space="preserve">49 </t>
    </r>
    <r>
      <rPr>
        <i val="true"/>
        <sz val="9"/>
        <color rgb="FF595959"/>
        <rFont val="Noto Sans CJK SC"/>
        <family val="2"/>
        <charset val="1"/>
      </rPr>
      <t xml:space="preserve">行。</t>
    </r>
  </si>
  <si>
    <t xml:space="preserve">其中自产温控</t>
  </si>
  <si>
    <t xml:space="preserve">贡献利润合计</t>
  </si>
  <si>
    <t xml:space="preserve">运营服务费</t>
  </si>
  <si>
    <t xml:space="preserve">费用合计</t>
  </si>
  <si>
    <t xml:space="preserve">增量税前利润</t>
  </si>
  <si>
    <t xml:space="preserve">增量税后利润</t>
  </si>
  <si>
    <t xml:space="preserve">三种情景 · 8 年税后利润</t>
  </si>
  <si>
    <t xml:space="preserve">通道年单 8 年</t>
  </si>
  <si>
    <t xml:space="preserve">海外自营 8 年</t>
  </si>
  <si>
    <t xml:space="preserve">协同税后利润 8 年</t>
  </si>
  <si>
    <t xml:space="preserve">税后利润逐年</t>
  </si>
  <si>
    <t xml:space="preserve">财务投资 + 战略协同 · 综合税后现金流</t>
  </si>
  <si>
    <t xml:space="preserve">财务投资现金流取自「假设」第四节；协同取自「协同利润」第 23–25 行。内部收益率 = IRR。</t>
  </si>
  <si>
    <t xml:space="preserve">基准 · 财务投资</t>
  </si>
  <si>
    <t xml:space="preserve">基准 · 协同利润</t>
  </si>
  <si>
    <t xml:space="preserve">基准 · 综合现金流</t>
  </si>
  <si>
    <t xml:space="preserve">审慎 · 财务投资</t>
  </si>
  <si>
    <t xml:space="preserve">审慎 · 协同利润</t>
  </si>
  <si>
    <t xml:space="preserve">审慎 · 综合现金流</t>
  </si>
  <si>
    <t xml:space="preserve">乐观 · 财务投资</t>
  </si>
  <si>
    <t xml:space="preserve">乐观 · 协同利润</t>
  </si>
  <si>
    <t xml:space="preserve">乐观 · 综合现金流</t>
  </si>
  <si>
    <t xml:space="preserve">回报摘要</t>
  </si>
  <si>
    <t xml:space="preserve">指标</t>
  </si>
  <si>
    <t xml:space="preserve">财务投资合计收回</t>
  </si>
  <si>
    <t xml:space="preserve">财务投资净收益</t>
  </si>
  <si>
    <t xml:space="preserve">财务投资倍数</t>
  </si>
  <si>
    <t xml:space="preserve">财务投资 IRR</t>
  </si>
  <si>
    <t xml:space="preserve">综合税后净收益</t>
  </si>
  <si>
    <t xml:space="preserve">综合回收倍数</t>
  </si>
  <si>
    <t xml:space="preserve">综合内部收益率</t>
  </si>
  <si>
    <t xml:space="preserve">协同占综合净收益</t>
  </si>
  <si>
    <t xml:space="preserve">财务投资 IRR 对基准用第 0–6 年（上市当年退出）；综合 IRR 含第 7–8 年协同利润。</t>
  </si>
  <si>
    <t xml:space="preserve">敏感性：通道年单倍数 × 海外自营倍数（8 年税后利润）</t>
  </si>
  <si>
    <t xml:space="preserve">团队与市场费用不随倍数缩放。格子为万元。</t>
  </si>
  <si>
    <t xml:space="preserve">通道 ＼ 自营</t>
  </si>
  <si>
    <r>
      <rPr>
        <b val="true"/>
        <sz val="10"/>
        <color rgb="FFFFFFFF"/>
        <rFont val="Arial"/>
        <family val="0"/>
        <charset val="1"/>
      </rPr>
      <t xml:space="preserve">0.5 </t>
    </r>
    <r>
      <rPr>
        <b val="true"/>
        <sz val="10"/>
        <color rgb="FFFFFFFF"/>
        <rFont val="Noto Sans CJK SC"/>
        <family val="2"/>
        <charset val="1"/>
      </rPr>
      <t xml:space="preserve">倍</t>
    </r>
  </si>
  <si>
    <r>
      <rPr>
        <b val="true"/>
        <sz val="10"/>
        <color rgb="FFFFFFFF"/>
        <rFont val="Arial"/>
        <family val="0"/>
        <charset val="1"/>
      </rPr>
      <t xml:space="preserve">1.0 </t>
    </r>
    <r>
      <rPr>
        <b val="true"/>
        <sz val="10"/>
        <color rgb="FFFFFFFF"/>
        <rFont val="Noto Sans CJK SC"/>
        <family val="2"/>
        <charset val="1"/>
      </rPr>
      <t xml:space="preserve">倍</t>
    </r>
  </si>
  <si>
    <r>
      <rPr>
        <b val="true"/>
        <sz val="10"/>
        <color rgb="FFFFFFFF"/>
        <rFont val="Arial"/>
        <family val="0"/>
        <charset val="1"/>
      </rPr>
      <t xml:space="preserve">1.5 </t>
    </r>
    <r>
      <rPr>
        <b val="true"/>
        <sz val="10"/>
        <color rgb="FFFFFFFF"/>
        <rFont val="Noto Sans CJK SC"/>
        <family val="2"/>
        <charset val="1"/>
      </rPr>
      <t xml:space="preserve">倍</t>
    </r>
  </si>
  <si>
    <t xml:space="preserve">中心格 1.0×1.0 应对齐协同利润基准合计。</t>
  </si>
  <si>
    <t xml:space="preserve">两线均一半是否覆盖本金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</si>
</sst>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#,##0;\(#,##0\);\-"/>
    <numFmt numFmtId="166" formatCode="0.0%"/>
    <numFmt numFmtId="167" formatCode="#,##0;\(#,##0\);\-"/>
    <numFmt numFmtId="168" formatCode="#,##0"/>
    <numFmt numFmtId="169" formatCode="0.00"/>
    <numFmt numFmtId="170" formatCode="0.00\x"/>
    <numFmt numFmtId="171" formatCode="0.0"/>
  </numFmts>
  <fonts count="20">
    <font>
      <sz val="11"/>
      <color theme="1"/>
      <name val="Noto Sans CJK SC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6304F"/>
      <name val="Noto Sans CJK SC"/>
      <family val="2"/>
      <charset val="1"/>
    </font>
    <font>
      <i val="true"/>
      <sz val="9"/>
      <color rgb="FF595959"/>
      <name val="Noto Sans CJK SC"/>
      <family val="2"/>
      <charset val="1"/>
    </font>
    <font>
      <b val="true"/>
      <sz val="11"/>
      <color rgb="FF16304F"/>
      <name val="Noto Sans CJK SC"/>
      <family val="2"/>
      <charset val="1"/>
    </font>
    <font>
      <b val="true"/>
      <sz val="10"/>
      <color rgb="FFFFFFFF"/>
      <name val="Noto Sans CJK SC"/>
      <family val="2"/>
      <charset val="1"/>
    </font>
    <font>
      <sz val="10"/>
      <color rgb="FF000000"/>
      <name val="Noto Sans CJK SC"/>
      <family val="2"/>
      <charset val="1"/>
    </font>
    <font>
      <sz val="10"/>
      <color rgb="FF0000FF"/>
      <name val="Arial"/>
      <family val="0"/>
      <charset val="1"/>
    </font>
    <font>
      <sz val="10"/>
      <color rgb="FF000000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10"/>
      <color rgb="FF000000"/>
      <name val="Noto Sans CJK SC"/>
      <family val="2"/>
      <charset val="1"/>
    </font>
    <font>
      <b val="true"/>
      <sz val="10"/>
      <color rgb="FFFFFFFF"/>
      <name val="Arial"/>
      <family val="0"/>
      <charset val="1"/>
    </font>
    <font>
      <sz val="10"/>
      <color rgb="FF008000"/>
      <name val="Arial"/>
      <family val="0"/>
      <charset val="1"/>
    </font>
    <font>
      <sz val="10"/>
      <name val="Noto Sans CJK SC"/>
      <family val="2"/>
    </font>
    <font>
      <sz val="10"/>
      <name val="Arial"/>
      <family val="2"/>
    </font>
    <font>
      <b val="true"/>
      <sz val="14"/>
      <color rgb="FF16304F"/>
      <name val="Arial"/>
      <family val="0"/>
      <charset val="1"/>
    </font>
    <font>
      <b val="true"/>
      <sz val="11"/>
      <color rgb="FF16304F"/>
      <name val="Arial"/>
      <family val="0"/>
      <charset val="1"/>
    </font>
  </fonts>
  <fills count="10">
    <fill>
      <patternFill patternType="none"/>
    </fill>
    <fill>
      <patternFill patternType="gray125"/>
    </fill>
    <fill>
      <patternFill patternType="solid">
        <fgColor rgb="FF16304F"/>
        <bgColor rgb="FF1E4577"/>
      </patternFill>
    </fill>
    <fill>
      <patternFill patternType="solid">
        <fgColor rgb="FFFFFF00"/>
        <bgColor rgb="FFFFFF00"/>
      </patternFill>
    </fill>
    <fill>
      <patternFill patternType="solid">
        <fgColor rgb="FFFFF4E8"/>
        <bgColor rgb="FFF7F3EA"/>
      </patternFill>
    </fill>
    <fill>
      <patternFill patternType="solid">
        <fgColor rgb="FFE8EEF6"/>
        <bgColor rgb="FFEEF3F8"/>
      </patternFill>
    </fill>
    <fill>
      <patternFill patternType="solid">
        <fgColor rgb="FFEEF3F8"/>
        <bgColor rgb="FFF4F7FB"/>
      </patternFill>
    </fill>
    <fill>
      <patternFill patternType="solid">
        <fgColor rgb="FFF4F7FB"/>
        <bgColor rgb="FFEEF3F8"/>
      </patternFill>
    </fill>
    <fill>
      <patternFill patternType="solid">
        <fgColor rgb="FFFFF8F4"/>
        <bgColor rgb="FFFFF4E8"/>
      </patternFill>
    </fill>
    <fill>
      <patternFill patternType="solid">
        <fgColor rgb="FFF7F3EA"/>
        <bgColor rgb="FFFFF4E8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8DDE4"/>
      </left>
      <right style="thin">
        <color rgb="FFD8DDE4"/>
      </right>
      <top style="thin">
        <color rgb="FFD8DDE4"/>
      </top>
      <bottom style="thin">
        <color rgb="FFD8DDE4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9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9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7" fontId="9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9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2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5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5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5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2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5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3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5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9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5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5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5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3" fillId="6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9" fontId="10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12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7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7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5" fillId="7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8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8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5" fillId="8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3" fillId="5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12" fillId="5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2" fillId="5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2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0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0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0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15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9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10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3" fillId="5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70" fontId="10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12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1" fontId="12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2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2">
    <dxf>
      <fill>
        <patternFill patternType="solid">
          <fgColor rgb="FF16304F"/>
          <bgColor rgb="FF000000"/>
        </patternFill>
      </fill>
    </dxf>
    <dxf>
      <fill>
        <patternFill patternType="solid">
          <fgColor rgb="FFF4F7FB"/>
          <bgColor rgb="FF000000"/>
        </patternFill>
      </fill>
    </dxf>
    <dxf>
      <fill>
        <patternFill patternType="solid">
          <fgColor rgb="FFFFF8F4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0000FF"/>
          <bgColor rgb="FF000000"/>
        </patternFill>
      </fill>
    </dxf>
    <dxf>
      <fill>
        <patternFill patternType="solid">
          <fgColor rgb="FF595959"/>
          <bgColor rgb="FF000000"/>
        </patternFill>
      </fill>
    </dxf>
    <dxf>
      <fill>
        <patternFill patternType="solid">
          <fgColor rgb="FF008000"/>
          <bgColor rgb="FF000000"/>
        </patternFill>
      </fill>
    </dxf>
    <dxf>
      <fill>
        <patternFill patternType="solid">
          <fgColor rgb="FFFFF4E8"/>
          <bgColor rgb="FF000000"/>
        </patternFill>
      </fill>
    </dxf>
    <dxf>
      <fill>
        <patternFill patternType="solid">
          <fgColor rgb="FFE8EEF6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4E8"/>
      <rgbColor rgb="FFE8EEF6"/>
      <rgbColor rgb="FF660066"/>
      <rgbColor rgb="FFFF8080"/>
      <rgbColor rgb="FF0066CC"/>
      <rgbColor rgb="FFD8DDE4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EF3F8"/>
      <rgbColor rgb="FFF7F3EA"/>
      <rgbColor rgb="FFFFF8F4"/>
      <rgbColor rgb="FF99CCFF"/>
      <rgbColor rgb="FFFF99CC"/>
      <rgbColor rgb="FFCC99FF"/>
      <rgbColor rgb="FFF4F7FB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6304F"/>
      <rgbColor rgb="FF339966"/>
      <rgbColor rgb="FF003300"/>
      <rgbColor rgb="FF333300"/>
      <rgbColor rgb="FF7A3226"/>
      <rgbColor rgb="FF993366"/>
      <rgbColor rgb="FF1E4577"/>
      <rgbColor rgb="FF6A4E2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worksheet" Target="worksheets/sheet13.xml"/><Relationship Id="rId1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comments" Target="../comments9.xml"/><Relationship Id="rId2" Type="http://schemas.openxmlformats.org/officeDocument/2006/relationships/vmlDrawing" Target="../drawings/vmlDrawing2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6304F"/>
    <pageSetUpPr fitToPage="true"/>
  </sheetPr>
  <dimension ref="A1:K5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7.89453125" defaultRowHeight="15" customHeight="false" zeroHeight="false" outlineLevelRow="0" outlineLevelCol="0"/>
  <cols>
    <col collapsed="false" customWidth="true" hidden="false" outlineLevel="0" max="1" min="1" style="1" width="25.47"/>
    <col collapsed="false" customWidth="true" hidden="false" outlineLevel="0" max="2" min="2" style="1" width="12.74"/>
    <col collapsed="false" customWidth="true" hidden="false" outlineLevel="0" max="9" min="3" style="1" width="10.92"/>
    <col collapsed="false" customWidth="true" hidden="false" outlineLevel="0" max="11" min="10" style="1" width="12.74"/>
  </cols>
  <sheetData>
    <row r="1" customFormat="false" ht="21.75" hidden="false" customHeight="true" outlineLevel="0" collapsed="false">
      <c r="A1" s="2" t="s">
        <v>0</v>
      </c>
      <c r="B1" s="2"/>
      <c r="C1" s="2"/>
      <c r="D1" s="2"/>
    </row>
    <row r="2" customFormat="false" ht="15" hidden="false" customHeight="true" outlineLevel="0" collapsed="false">
      <c r="A2" s="3" t="s">
        <v>1</v>
      </c>
      <c r="B2" s="3"/>
      <c r="C2" s="3"/>
      <c r="D2" s="3"/>
    </row>
    <row r="4" customFormat="false" ht="15" hidden="false" customHeight="true" outlineLevel="0" collapsed="false">
      <c r="A4" s="4" t="s">
        <v>2</v>
      </c>
    </row>
    <row r="5" customFormat="false" ht="15" hidden="false" customHeight="true" outlineLevel="0" collapsed="false">
      <c r="A5" s="5" t="s">
        <v>3</v>
      </c>
      <c r="B5" s="5" t="s">
        <v>4</v>
      </c>
      <c r="C5" s="5" t="s">
        <v>5</v>
      </c>
      <c r="D5" s="5" t="s">
        <v>6</v>
      </c>
    </row>
    <row r="6" customFormat="false" ht="15" hidden="false" customHeight="true" outlineLevel="0" collapsed="false">
      <c r="A6" s="6" t="s">
        <v>7</v>
      </c>
      <c r="B6" s="7" t="n">
        <v>1500</v>
      </c>
      <c r="C6" s="8" t="s">
        <v>8</v>
      </c>
      <c r="D6" s="9" t="s">
        <v>9</v>
      </c>
    </row>
    <row r="7" customFormat="false" ht="15" hidden="false" customHeight="true" outlineLevel="0" collapsed="false">
      <c r="A7" s="6" t="s">
        <v>10</v>
      </c>
      <c r="B7" s="10" t="n">
        <v>0.075</v>
      </c>
      <c r="C7" s="11" t="s">
        <v>11</v>
      </c>
      <c r="D7" s="9" t="s">
        <v>12</v>
      </c>
    </row>
    <row r="8" customFormat="false" ht="15" hidden="false" customHeight="true" outlineLevel="0" collapsed="false">
      <c r="A8" s="6" t="s">
        <v>13</v>
      </c>
      <c r="B8" s="10" t="n">
        <v>0.25</v>
      </c>
      <c r="C8" s="11" t="s">
        <v>11</v>
      </c>
      <c r="D8" s="9" t="s">
        <v>14</v>
      </c>
    </row>
    <row r="9" customFormat="false" ht="15" hidden="false" customHeight="true" outlineLevel="0" collapsed="false">
      <c r="A9" s="6" t="s">
        <v>15</v>
      </c>
      <c r="B9" s="10" t="n">
        <v>0.38</v>
      </c>
      <c r="C9" s="11" t="s">
        <v>11</v>
      </c>
      <c r="D9" s="9" t="s">
        <v>16</v>
      </c>
    </row>
    <row r="10" customFormat="false" ht="15" hidden="false" customHeight="true" outlineLevel="0" collapsed="false">
      <c r="A10" s="6" t="s">
        <v>17</v>
      </c>
      <c r="B10" s="10" t="n">
        <v>0.18</v>
      </c>
      <c r="C10" s="11" t="s">
        <v>11</v>
      </c>
      <c r="D10" s="9" t="s">
        <v>18</v>
      </c>
    </row>
    <row r="11" customFormat="false" ht="15" hidden="false" customHeight="true" outlineLevel="0" collapsed="false">
      <c r="A11" s="6" t="s">
        <v>19</v>
      </c>
      <c r="B11" s="10" t="n">
        <v>0.24</v>
      </c>
      <c r="C11" s="11" t="s">
        <v>11</v>
      </c>
      <c r="D11" s="9" t="s">
        <v>20</v>
      </c>
    </row>
    <row r="12" customFormat="false" ht="15" hidden="false" customHeight="true" outlineLevel="0" collapsed="false">
      <c r="A12" s="6" t="s">
        <v>21</v>
      </c>
      <c r="B12" s="10" t="n">
        <v>0.03</v>
      </c>
      <c r="C12" s="11" t="s">
        <v>11</v>
      </c>
      <c r="D12" s="9" t="s">
        <v>22</v>
      </c>
    </row>
    <row r="14" customFormat="false" ht="15" hidden="false" customHeight="true" outlineLevel="0" collapsed="false">
      <c r="A14" s="4" t="s">
        <v>23</v>
      </c>
    </row>
    <row r="15" customFormat="false" ht="15" hidden="false" customHeight="true" outlineLevel="0" collapsed="false">
      <c r="A15" s="5" t="s">
        <v>3</v>
      </c>
      <c r="B15" s="5" t="s">
        <v>24</v>
      </c>
      <c r="C15" s="5" t="s">
        <v>25</v>
      </c>
      <c r="D15" s="5" t="s">
        <v>26</v>
      </c>
    </row>
    <row r="16" customFormat="false" ht="15" hidden="false" customHeight="true" outlineLevel="0" collapsed="false">
      <c r="A16" s="6" t="s">
        <v>27</v>
      </c>
      <c r="B16" s="10" t="n">
        <v>0.45</v>
      </c>
      <c r="C16" s="10" t="n">
        <v>1</v>
      </c>
      <c r="D16" s="10" t="n">
        <v>1.7</v>
      </c>
    </row>
    <row r="17" customFormat="false" ht="15" hidden="false" customHeight="true" outlineLevel="0" collapsed="false">
      <c r="A17" s="6" t="s">
        <v>28</v>
      </c>
      <c r="B17" s="10" t="n">
        <v>0.6</v>
      </c>
      <c r="C17" s="10" t="n">
        <v>1</v>
      </c>
      <c r="D17" s="10" t="n">
        <v>1.7</v>
      </c>
    </row>
    <row r="19" customFormat="false" ht="15" hidden="false" customHeight="true" outlineLevel="0" collapsed="false">
      <c r="A19" s="4" t="s">
        <v>29</v>
      </c>
    </row>
    <row r="20" customFormat="false" ht="15" hidden="false" customHeight="true" outlineLevel="0" collapsed="false">
      <c r="A20" s="3" t="s">
        <v>30</v>
      </c>
      <c r="B20" s="3"/>
      <c r="C20" s="3"/>
      <c r="D20" s="3"/>
      <c r="E20" s="3"/>
      <c r="F20" s="3"/>
      <c r="G20" s="3"/>
      <c r="H20" s="3"/>
      <c r="I20" s="3"/>
      <c r="J20" s="3"/>
    </row>
    <row r="21" customFormat="false" ht="15" hidden="false" customHeight="true" outlineLevel="0" collapsed="false">
      <c r="A21" s="5" t="s">
        <v>3</v>
      </c>
      <c r="B21" s="5" t="s">
        <v>31</v>
      </c>
      <c r="C21" s="5" t="s">
        <v>32</v>
      </c>
      <c r="D21" s="5" t="s">
        <v>33</v>
      </c>
      <c r="E21" s="5" t="s">
        <v>34</v>
      </c>
      <c r="F21" s="5" t="s">
        <v>35</v>
      </c>
      <c r="G21" s="5" t="s">
        <v>36</v>
      </c>
      <c r="H21" s="5" t="s">
        <v>37</v>
      </c>
      <c r="I21" s="5" t="s">
        <v>38</v>
      </c>
      <c r="J21" s="5" t="s">
        <v>39</v>
      </c>
    </row>
    <row r="22" customFormat="false" ht="15" hidden="false" customHeight="true" outlineLevel="0" collapsed="false">
      <c r="A22" s="12" t="s">
        <v>40</v>
      </c>
      <c r="B22" s="13" t="n">
        <v>3300</v>
      </c>
      <c r="C22" s="13" t="n">
        <v>13300</v>
      </c>
      <c r="D22" s="14" t="n">
        <v>24600</v>
      </c>
      <c r="E22" s="13" t="n">
        <v>33500</v>
      </c>
      <c r="F22" s="13" t="n">
        <v>42300</v>
      </c>
      <c r="G22" s="13" t="n">
        <v>50000</v>
      </c>
      <c r="H22" s="13" t="n">
        <v>58000</v>
      </c>
      <c r="I22" s="13" t="n">
        <v>66000</v>
      </c>
      <c r="J22" s="15" t="n">
        <f aca="false">SUM(B22:I22)</f>
        <v>291000</v>
      </c>
    </row>
    <row r="23" customFormat="false" ht="15" hidden="false" customHeight="true" outlineLevel="0" collapsed="false">
      <c r="A23" s="12" t="s">
        <v>41</v>
      </c>
      <c r="B23" s="13" t="n">
        <v>500</v>
      </c>
      <c r="C23" s="13" t="n">
        <v>2200</v>
      </c>
      <c r="D23" s="13" t="n">
        <v>4200</v>
      </c>
      <c r="E23" s="13" t="n">
        <v>6400</v>
      </c>
      <c r="F23" s="13" t="n">
        <v>8600</v>
      </c>
      <c r="G23" s="13" t="n">
        <v>10200</v>
      </c>
      <c r="H23" s="13" t="n">
        <v>11800</v>
      </c>
      <c r="I23" s="13" t="n">
        <v>13400</v>
      </c>
      <c r="J23" s="15" t="n">
        <f aca="false">SUM(B23:I23)</f>
        <v>57300</v>
      </c>
    </row>
    <row r="24" customFormat="false" ht="15" hidden="false" customHeight="true" outlineLevel="0" collapsed="false">
      <c r="A24" s="12" t="s">
        <v>42</v>
      </c>
      <c r="B24" s="7" t="n">
        <v>280</v>
      </c>
      <c r="C24" s="7" t="n">
        <v>350</v>
      </c>
      <c r="D24" s="7" t="n">
        <v>420</v>
      </c>
      <c r="E24" s="7" t="n">
        <v>500</v>
      </c>
      <c r="F24" s="7" t="n">
        <v>580</v>
      </c>
      <c r="G24" s="7" t="n">
        <v>640</v>
      </c>
      <c r="H24" s="7" t="n">
        <v>700</v>
      </c>
      <c r="I24" s="7" t="n">
        <v>760</v>
      </c>
      <c r="J24" s="15" t="n">
        <f aca="false">SUM(B24:I24)</f>
        <v>4230</v>
      </c>
    </row>
    <row r="25" customFormat="false" ht="15" hidden="false" customHeight="true" outlineLevel="0" collapsed="false">
      <c r="A25" s="12" t="s">
        <v>43</v>
      </c>
      <c r="B25" s="7" t="n">
        <v>150</v>
      </c>
      <c r="C25" s="7" t="n">
        <v>200</v>
      </c>
      <c r="D25" s="7" t="n">
        <v>260</v>
      </c>
      <c r="E25" s="7" t="n">
        <v>320</v>
      </c>
      <c r="F25" s="7" t="n">
        <v>380</v>
      </c>
      <c r="G25" s="7" t="n">
        <v>420</v>
      </c>
      <c r="H25" s="7" t="n">
        <v>460</v>
      </c>
      <c r="I25" s="7" t="n">
        <v>500</v>
      </c>
      <c r="J25" s="15" t="n">
        <f aca="false">SUM(B25:I25)</f>
        <v>2690</v>
      </c>
    </row>
    <row r="27" customFormat="false" ht="15" hidden="false" customHeight="true" outlineLevel="0" collapsed="false">
      <c r="A27" s="4" t="s">
        <v>44</v>
      </c>
    </row>
    <row r="28" customFormat="false" ht="15" hidden="false" customHeight="true" outlineLevel="0" collapsed="false">
      <c r="A28" s="5" t="s">
        <v>45</v>
      </c>
      <c r="B28" s="5" t="s">
        <v>46</v>
      </c>
      <c r="C28" s="5" t="s">
        <v>31</v>
      </c>
      <c r="D28" s="5" t="s">
        <v>32</v>
      </c>
      <c r="E28" s="5" t="s">
        <v>33</v>
      </c>
      <c r="F28" s="5" t="s">
        <v>34</v>
      </c>
      <c r="G28" s="5" t="s">
        <v>35</v>
      </c>
      <c r="H28" s="5" t="s">
        <v>36</v>
      </c>
      <c r="I28" s="5" t="s">
        <v>37</v>
      </c>
      <c r="J28" s="5" t="s">
        <v>38</v>
      </c>
      <c r="K28" s="5" t="s">
        <v>39</v>
      </c>
    </row>
    <row r="29" customFormat="false" ht="15" hidden="false" customHeight="true" outlineLevel="0" collapsed="false">
      <c r="A29" s="16" t="s">
        <v>24</v>
      </c>
      <c r="B29" s="7" t="n">
        <v>-1500</v>
      </c>
      <c r="C29" s="7" t="n">
        <v>150</v>
      </c>
      <c r="D29" s="7" t="n">
        <v>490</v>
      </c>
      <c r="E29" s="7" t="n">
        <v>860</v>
      </c>
      <c r="F29" s="7" t="n">
        <v>60</v>
      </c>
      <c r="G29" s="7" t="n">
        <v>62</v>
      </c>
      <c r="H29" s="7" t="n">
        <v>62</v>
      </c>
      <c r="I29" s="7" t="n">
        <v>62</v>
      </c>
      <c r="J29" s="7" t="n">
        <v>2943</v>
      </c>
      <c r="K29" s="15" t="n">
        <f aca="false">SUM(B29:J29)</f>
        <v>3189</v>
      </c>
    </row>
    <row r="30" customFormat="false" ht="15" hidden="false" customHeight="true" outlineLevel="0" collapsed="false">
      <c r="A30" s="16" t="s">
        <v>25</v>
      </c>
      <c r="B30" s="7" t="n">
        <v>-1500</v>
      </c>
      <c r="C30" s="7" t="n">
        <v>281</v>
      </c>
      <c r="D30" s="7" t="n">
        <v>782</v>
      </c>
      <c r="E30" s="7" t="n">
        <v>438</v>
      </c>
      <c r="F30" s="7" t="n">
        <v>78</v>
      </c>
      <c r="G30" s="7" t="n">
        <v>115</v>
      </c>
      <c r="H30" s="7" t="n">
        <v>3644</v>
      </c>
      <c r="I30" s="7" t="n">
        <v>0</v>
      </c>
      <c r="J30" s="7" t="n">
        <v>0</v>
      </c>
      <c r="K30" s="15" t="n">
        <f aca="false">SUM(B30:J30)</f>
        <v>3838</v>
      </c>
    </row>
    <row r="31" customFormat="false" ht="15" hidden="false" customHeight="true" outlineLevel="0" collapsed="false">
      <c r="A31" s="16" t="s">
        <v>26</v>
      </c>
      <c r="B31" s="7" t="n">
        <v>-1500</v>
      </c>
      <c r="C31" s="7" t="n">
        <v>850</v>
      </c>
      <c r="D31" s="7" t="n">
        <v>650</v>
      </c>
      <c r="E31" s="7" t="n">
        <v>20</v>
      </c>
      <c r="F31" s="7" t="n">
        <v>40</v>
      </c>
      <c r="G31" s="7" t="n">
        <v>4123</v>
      </c>
      <c r="H31" s="7" t="n">
        <v>0</v>
      </c>
      <c r="I31" s="7" t="n">
        <v>0</v>
      </c>
      <c r="J31" s="7" t="n">
        <v>0</v>
      </c>
      <c r="K31" s="15" t="n">
        <f aca="false">SUM(B31:J31)</f>
        <v>4183</v>
      </c>
    </row>
    <row r="33" customFormat="false" ht="15" hidden="false" customHeight="true" outlineLevel="0" collapsed="false">
      <c r="A33" s="4" t="s">
        <v>47</v>
      </c>
    </row>
    <row r="34" customFormat="false" ht="79.5" hidden="false" customHeight="true" outlineLevel="0" collapsed="false">
      <c r="A34" s="17" t="s">
        <v>48</v>
      </c>
      <c r="B34" s="17"/>
      <c r="C34" s="17"/>
      <c r="D34" s="17"/>
      <c r="E34" s="17"/>
      <c r="F34" s="17"/>
      <c r="G34" s="17"/>
      <c r="H34" s="17"/>
      <c r="I34" s="17"/>
      <c r="J34" s="17"/>
    </row>
    <row r="35" customFormat="false" ht="15" hidden="false" customHeight="true" outlineLevel="0" collapsed="false">
      <c r="A35" s="17"/>
      <c r="B35" s="17"/>
      <c r="C35" s="17"/>
      <c r="D35" s="17"/>
      <c r="E35" s="17"/>
      <c r="F35" s="17"/>
      <c r="G35" s="17"/>
      <c r="H35" s="17"/>
      <c r="I35" s="17"/>
      <c r="J35" s="17"/>
    </row>
    <row r="36" customFormat="false" ht="15" hidden="false" customHeight="true" outlineLevel="0" collapsed="false">
      <c r="A36" s="17"/>
      <c r="B36" s="17"/>
      <c r="C36" s="17"/>
      <c r="D36" s="17"/>
      <c r="E36" s="17"/>
      <c r="F36" s="17"/>
      <c r="G36" s="17"/>
      <c r="H36" s="17"/>
      <c r="I36" s="17"/>
      <c r="J36" s="17"/>
    </row>
    <row r="37" customFormat="false" ht="15" hidden="false" customHeight="true" outlineLevel="0" collapsed="false">
      <c r="A37" s="17"/>
      <c r="B37" s="17"/>
      <c r="C37" s="17"/>
      <c r="D37" s="17"/>
      <c r="E37" s="17"/>
      <c r="F37" s="17"/>
      <c r="G37" s="17"/>
      <c r="H37" s="17"/>
      <c r="I37" s="17"/>
      <c r="J37" s="17"/>
    </row>
    <row r="38" customFormat="false" ht="15" hidden="false" customHeight="true" outlineLevel="0" collapsed="false">
      <c r="A38" s="17"/>
      <c r="B38" s="17"/>
      <c r="C38" s="17"/>
      <c r="D38" s="17"/>
      <c r="E38" s="17"/>
      <c r="F38" s="17"/>
      <c r="G38" s="17"/>
      <c r="H38" s="17"/>
      <c r="I38" s="17"/>
      <c r="J38" s="17"/>
    </row>
    <row r="39" customFormat="false" ht="15" hidden="false" customHeight="true" outlineLevel="0" collapsed="false">
      <c r="A39" s="18" t="s">
        <v>49</v>
      </c>
      <c r="B39" s="18"/>
      <c r="C39" s="18"/>
      <c r="D39" s="18"/>
      <c r="E39" s="18"/>
      <c r="F39" s="18"/>
      <c r="G39" s="18"/>
      <c r="H39" s="18"/>
      <c r="I39" s="18"/>
      <c r="J39" s="18"/>
    </row>
    <row r="41" customFormat="false" ht="15" hidden="false" customHeight="false" outlineLevel="0" collapsed="false">
      <c r="A41" s="19" t="s">
        <v>50</v>
      </c>
    </row>
    <row r="42" customFormat="false" ht="15" hidden="false" customHeight="false" outlineLevel="0" collapsed="false">
      <c r="A42" s="5" t="s">
        <v>3</v>
      </c>
      <c r="B42" s="5" t="s">
        <v>4</v>
      </c>
      <c r="C42" s="5" t="s">
        <v>5</v>
      </c>
      <c r="D42" s="5" t="s">
        <v>6</v>
      </c>
    </row>
    <row r="43" customFormat="false" ht="15" hidden="false" customHeight="false" outlineLevel="0" collapsed="false">
      <c r="A43" s="20" t="s">
        <v>51</v>
      </c>
      <c r="B43" s="10" t="n">
        <v>0.16</v>
      </c>
      <c r="C43" s="20" t="s">
        <v>11</v>
      </c>
      <c r="D43" s="21" t="s">
        <v>52</v>
      </c>
    </row>
    <row r="44" customFormat="false" ht="15" hidden="false" customHeight="false" outlineLevel="0" collapsed="false">
      <c r="A44" s="20" t="s">
        <v>53</v>
      </c>
      <c r="B44" s="10" t="n">
        <v>0.22</v>
      </c>
      <c r="C44" s="20" t="s">
        <v>11</v>
      </c>
      <c r="D44" s="21" t="s">
        <v>54</v>
      </c>
    </row>
    <row r="45" customFormat="false" ht="15" hidden="false" customHeight="false" outlineLevel="0" collapsed="false">
      <c r="A45" s="20" t="s">
        <v>55</v>
      </c>
      <c r="B45" s="10" t="n">
        <v>0.18</v>
      </c>
      <c r="C45" s="20" t="s">
        <v>11</v>
      </c>
      <c r="D45" s="21" t="s">
        <v>56</v>
      </c>
    </row>
    <row r="47" customFormat="false" ht="15" hidden="false" customHeight="false" outlineLevel="0" collapsed="false">
      <c r="A47" s="22" t="s">
        <v>57</v>
      </c>
    </row>
    <row r="48" customFormat="false" ht="15" hidden="false" customHeight="false" outlineLevel="0" collapsed="false">
      <c r="A48" s="5" t="s">
        <v>3</v>
      </c>
      <c r="B48" s="5" t="s">
        <v>58</v>
      </c>
      <c r="C48" s="5" t="s">
        <v>59</v>
      </c>
      <c r="D48" s="5" t="s">
        <v>60</v>
      </c>
      <c r="E48" s="5" t="s">
        <v>61</v>
      </c>
      <c r="F48" s="5" t="s">
        <v>62</v>
      </c>
      <c r="G48" s="5" t="s">
        <v>63</v>
      </c>
      <c r="H48" s="5" t="s">
        <v>64</v>
      </c>
      <c r="I48" s="5" t="s">
        <v>65</v>
      </c>
    </row>
    <row r="49" customFormat="false" ht="15" hidden="false" customHeight="false" outlineLevel="0" collapsed="false">
      <c r="A49" s="1" t="s">
        <v>66</v>
      </c>
      <c r="B49" s="10" t="n">
        <v>0.34</v>
      </c>
      <c r="C49" s="10" t="n">
        <v>0.36</v>
      </c>
      <c r="D49" s="23" t="n">
        <v>0.38</v>
      </c>
      <c r="E49" s="10" t="n">
        <v>0.4</v>
      </c>
      <c r="F49" s="10" t="n">
        <v>0.42</v>
      </c>
      <c r="G49" s="10" t="n">
        <v>0.43</v>
      </c>
      <c r="H49" s="10" t="n">
        <v>0.44</v>
      </c>
      <c r="I49" s="10" t="n">
        <v>0.44</v>
      </c>
    </row>
    <row r="50" customFormat="false" ht="17.15" hidden="false" customHeight="false" outlineLevel="0" collapsed="false">
      <c r="A50" s="1" t="s">
        <v>67</v>
      </c>
      <c r="B50" s="24" t="n">
        <f aca="false">D49</f>
        <v>0.38</v>
      </c>
      <c r="C50" s="25" t="str">
        <f aca="false">IF(ABS(D49-B9)&lt;0.001,"齐","与 B9 不一致")</f>
        <v>齐</v>
      </c>
    </row>
  </sheetData>
  <mergeCells count="5">
    <mergeCell ref="A1:D1"/>
    <mergeCell ref="A2:D2"/>
    <mergeCell ref="A20:J20"/>
    <mergeCell ref="A34:J38"/>
    <mergeCell ref="A39:J39"/>
  </mergeCell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&amp;L&amp;"Calibri,Regular"测算数据不构成收益承诺&amp;R&amp;"Calibri,Regular"假设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7A3226"/>
    <pageSetUpPr fitToPage="true"/>
  </sheetPr>
  <dimension ref="A1:J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171875" defaultRowHeight="15" customHeight="false" zeroHeight="false" outlineLevelRow="0" outlineLevelCol="0"/>
  <cols>
    <col collapsed="false" customWidth="true" hidden="false" outlineLevel="0" max="1" min="1" style="0" width="36"/>
    <col collapsed="false" customWidth="true" hidden="false" outlineLevel="0" max="2" min="2" style="0" width="14"/>
    <col collapsed="false" customWidth="true" hidden="false" outlineLevel="0" max="9" min="3" style="0" width="12"/>
    <col collapsed="false" customWidth="true" hidden="false" outlineLevel="0" max="10" min="10" style="0" width="56"/>
  </cols>
  <sheetData>
    <row r="1" customFormat="false" ht="17.35" hidden="false" customHeight="false" outlineLevel="0" collapsed="false">
      <c r="A1" s="26" t="s">
        <v>68</v>
      </c>
      <c r="B1" s="26"/>
      <c r="C1" s="26"/>
      <c r="D1" s="26"/>
      <c r="E1" s="26"/>
      <c r="F1" s="26"/>
      <c r="G1" s="26"/>
      <c r="H1" s="26"/>
      <c r="I1" s="26"/>
      <c r="J1" s="26"/>
    </row>
    <row r="2" customFormat="false" ht="14.15" hidden="false" customHeight="false" outlineLevel="0" collapsed="false">
      <c r="A2" s="27" t="s">
        <v>69</v>
      </c>
      <c r="B2" s="27"/>
      <c r="C2" s="27"/>
      <c r="D2" s="27"/>
      <c r="E2" s="27"/>
      <c r="F2" s="27"/>
      <c r="G2" s="27"/>
      <c r="H2" s="27"/>
      <c r="I2" s="27"/>
      <c r="J2" s="27"/>
    </row>
    <row r="4" customFormat="false" ht="15" hidden="false" customHeight="false" outlineLevel="0" collapsed="false">
      <c r="A4" s="19" t="s">
        <v>70</v>
      </c>
    </row>
    <row r="5" customFormat="false" ht="15" hidden="false" customHeight="false" outlineLevel="0" collapsed="false">
      <c r="A5" s="5" t="s">
        <v>3</v>
      </c>
      <c r="B5" s="5" t="s">
        <v>58</v>
      </c>
      <c r="C5" s="5" t="s">
        <v>59</v>
      </c>
      <c r="D5" s="5" t="s">
        <v>60</v>
      </c>
      <c r="E5" s="5" t="s">
        <v>61</v>
      </c>
      <c r="F5" s="5" t="s">
        <v>62</v>
      </c>
      <c r="G5" s="5" t="s">
        <v>63</v>
      </c>
      <c r="H5" s="5" t="s">
        <v>64</v>
      </c>
      <c r="I5" s="5" t="s">
        <v>65</v>
      </c>
      <c r="J5" s="5" t="s">
        <v>6</v>
      </c>
    </row>
    <row r="6" customFormat="false" ht="15" hidden="false" customHeight="false" outlineLevel="0" collapsed="false">
      <c r="A6" s="28" t="s">
        <v>71</v>
      </c>
      <c r="B6" s="13" t="n">
        <v>316800</v>
      </c>
      <c r="C6" s="13" t="n">
        <v>375091</v>
      </c>
      <c r="D6" s="13" t="n">
        <v>444108</v>
      </c>
      <c r="E6" s="13" t="n">
        <v>525824</v>
      </c>
      <c r="F6" s="13" t="n">
        <v>622575</v>
      </c>
      <c r="G6" s="13" t="n">
        <v>737129</v>
      </c>
      <c r="H6" s="13" t="n">
        <v>872761</v>
      </c>
      <c r="I6" s="13" t="n">
        <v>1033349</v>
      </c>
      <c r="J6" s="29" t="s">
        <v>72</v>
      </c>
    </row>
    <row r="7" customFormat="false" ht="15" hidden="false" customHeight="false" outlineLevel="0" collapsed="false">
      <c r="A7" s="28" t="s">
        <v>73</v>
      </c>
      <c r="B7" s="10" t="n">
        <v>0.12</v>
      </c>
      <c r="C7" s="10" t="n">
        <v>0.15</v>
      </c>
      <c r="D7" s="10" t="n">
        <v>0.18</v>
      </c>
      <c r="E7" s="10" t="n">
        <v>0.21</v>
      </c>
      <c r="F7" s="10" t="n">
        <v>0.24</v>
      </c>
      <c r="G7" s="10" t="n">
        <v>0.26</v>
      </c>
      <c r="H7" s="10" t="n">
        <v>0.28</v>
      </c>
      <c r="I7" s="10" t="n">
        <v>0.3</v>
      </c>
    </row>
    <row r="8" customFormat="false" ht="15" hidden="false" customHeight="false" outlineLevel="0" collapsed="false">
      <c r="A8" s="28" t="s">
        <v>74</v>
      </c>
      <c r="B8" s="30" t="n">
        <f aca="false">B6*B7</f>
        <v>38016</v>
      </c>
      <c r="C8" s="30" t="n">
        <f aca="false">C6*C7</f>
        <v>56263.65</v>
      </c>
      <c r="D8" s="30" t="n">
        <f aca="false">D6*D7</f>
        <v>79939.44</v>
      </c>
      <c r="E8" s="30" t="n">
        <f aca="false">E6*E7</f>
        <v>110423.04</v>
      </c>
      <c r="F8" s="30" t="n">
        <f aca="false">F6*F7</f>
        <v>149418</v>
      </c>
      <c r="G8" s="30" t="n">
        <f aca="false">G6*G7</f>
        <v>191653.54</v>
      </c>
      <c r="H8" s="30" t="n">
        <f aca="false">H6*H7</f>
        <v>244373.08</v>
      </c>
      <c r="I8" s="30" t="n">
        <f aca="false">I6*I7</f>
        <v>310004.7</v>
      </c>
    </row>
    <row r="9" customFormat="false" ht="15" hidden="false" customHeight="false" outlineLevel="0" collapsed="false">
      <c r="A9" s="28" t="s">
        <v>40</v>
      </c>
      <c r="B9" s="30" t="n">
        <f aca="false">通道年单!B5</f>
        <v>3300</v>
      </c>
      <c r="C9" s="30" t="n">
        <f aca="false">通道年单!C5</f>
        <v>13300</v>
      </c>
      <c r="D9" s="31" t="n">
        <f aca="false">通道年单!D5</f>
        <v>24600</v>
      </c>
      <c r="E9" s="30" t="n">
        <f aca="false">通道年单!E5</f>
        <v>33500</v>
      </c>
      <c r="F9" s="30" t="n">
        <f aca="false">通道年单!F5</f>
        <v>42300</v>
      </c>
      <c r="G9" s="30" t="n">
        <f aca="false">通道年单!G5</f>
        <v>50000</v>
      </c>
      <c r="H9" s="30" t="n">
        <f aca="false">通道年单!H5</f>
        <v>58000</v>
      </c>
      <c r="I9" s="30" t="n">
        <f aca="false">通道年单!I5</f>
        <v>66000</v>
      </c>
    </row>
    <row r="10" customFormat="false" ht="15" hidden="false" customHeight="false" outlineLevel="0" collapsed="false">
      <c r="A10" s="28" t="s">
        <v>75</v>
      </c>
      <c r="B10" s="24" t="n">
        <f aca="false">IF(B6=0,0,B9/B6)</f>
        <v>0.0104166666666667</v>
      </c>
      <c r="C10" s="24" t="n">
        <f aca="false">IF(C6=0,0,C9/C6)</f>
        <v>0.0354580621769117</v>
      </c>
      <c r="D10" s="24" t="n">
        <f aca="false">IF(D6=0,0,D9/D6)</f>
        <v>0.0553919316922911</v>
      </c>
      <c r="E10" s="24" t="n">
        <f aca="false">IF(E6=0,0,E9/E6)</f>
        <v>0.0637095301850049</v>
      </c>
      <c r="F10" s="24" t="n">
        <f aca="false">IF(F6=0,0,F9/F6)</f>
        <v>0.0679436212504518</v>
      </c>
      <c r="G10" s="24" t="n">
        <f aca="false">IF(G6=0,0,G9/G6)</f>
        <v>0.0678307324769477</v>
      </c>
      <c r="H10" s="24" t="n">
        <f aca="false">IF(H6=0,0,H9/H6)</f>
        <v>0.0664557650949114</v>
      </c>
      <c r="I10" s="24" t="n">
        <f aca="false">IF(I6=0,0,I9/I6)</f>
        <v>0.0638699993903318</v>
      </c>
    </row>
    <row r="11" customFormat="false" ht="15" hidden="false" customHeight="false" outlineLevel="0" collapsed="false">
      <c r="A11" s="28" t="s">
        <v>76</v>
      </c>
      <c r="B11" s="30" t="n">
        <f aca="false">按产品线!B9</f>
        <v>1124</v>
      </c>
      <c r="C11" s="30" t="n">
        <f aca="false">按产品线!C9</f>
        <v>4788</v>
      </c>
      <c r="D11" s="30" t="n">
        <f aca="false">按产品线!D9</f>
        <v>9350</v>
      </c>
      <c r="E11" s="30" t="n">
        <f aca="false">按产品线!E9</f>
        <v>13400</v>
      </c>
      <c r="F11" s="30" t="n">
        <f aca="false">按产品线!F9</f>
        <v>17765</v>
      </c>
      <c r="G11" s="30" t="n">
        <f aca="false">按产品线!G9</f>
        <v>21498</v>
      </c>
      <c r="H11" s="30" t="n">
        <f aca="false">按产品线!H9</f>
        <v>25519</v>
      </c>
      <c r="I11" s="30" t="n">
        <f aca="false">按产品线!I9</f>
        <v>29039</v>
      </c>
    </row>
    <row r="12" customFormat="false" ht="15" hidden="false" customHeight="false" outlineLevel="0" collapsed="false">
      <c r="A12" s="28" t="s">
        <v>77</v>
      </c>
      <c r="B12" s="24" t="n">
        <f aca="false">IF(B6=0,0,B11/B6)</f>
        <v>0.0035479797979798</v>
      </c>
      <c r="C12" s="24" t="n">
        <f aca="false">IF(C6=0,0,C11/C6)</f>
        <v>0.0127649023836882</v>
      </c>
      <c r="D12" s="24" t="n">
        <f aca="false">IF(D6=0,0,D11/D6)</f>
        <v>0.0210534374521513</v>
      </c>
      <c r="E12" s="24" t="n">
        <f aca="false">IF(E6=0,0,E11/E6)</f>
        <v>0.025483812074002</v>
      </c>
      <c r="F12" s="24" t="n">
        <f aca="false">IF(F6=0,0,F11/F6)</f>
        <v>0.0285347146930089</v>
      </c>
      <c r="G12" s="24" t="n">
        <f aca="false">IF(G6=0,0,G11/G6)</f>
        <v>0.0291645017357884</v>
      </c>
      <c r="H12" s="24" t="n">
        <f aca="false">IF(H6=0,0,H11/H6)</f>
        <v>0.0292393908527077</v>
      </c>
      <c r="I12" s="24" t="n">
        <f aca="false">IF(I6=0,0,I11/I6)</f>
        <v>0.0281018320044825</v>
      </c>
    </row>
    <row r="14" customFormat="false" ht="15" hidden="false" customHeight="false" outlineLevel="0" collapsed="false">
      <c r="A14" s="19" t="s">
        <v>78</v>
      </c>
    </row>
    <row r="15" customFormat="false" ht="15" hidden="false" customHeight="false" outlineLevel="0" collapsed="false">
      <c r="A15" s="5" t="s">
        <v>79</v>
      </c>
      <c r="B15" s="5" t="s">
        <v>80</v>
      </c>
      <c r="C15" s="5" t="s">
        <v>81</v>
      </c>
      <c r="D15" s="5" t="s">
        <v>82</v>
      </c>
    </row>
    <row r="16" customFormat="false" ht="17.15" hidden="false" customHeight="false" outlineLevel="0" collapsed="false">
      <c r="A16" s="20" t="s">
        <v>83</v>
      </c>
      <c r="B16" s="13" t="n">
        <v>84900</v>
      </c>
      <c r="C16" s="10" t="n">
        <v>0.14</v>
      </c>
      <c r="D16" s="21" t="s">
        <v>84</v>
      </c>
    </row>
    <row r="17" customFormat="false" ht="17.15" hidden="false" customHeight="false" outlineLevel="0" collapsed="false">
      <c r="A17" s="20" t="s">
        <v>85</v>
      </c>
      <c r="B17" s="13" t="n">
        <v>14400</v>
      </c>
      <c r="C17" s="10" t="n">
        <v>0.034</v>
      </c>
      <c r="D17" s="21" t="s">
        <v>86</v>
      </c>
    </row>
    <row r="18" customFormat="false" ht="17.15" hidden="false" customHeight="false" outlineLevel="0" collapsed="false">
      <c r="A18" s="20" t="s">
        <v>87</v>
      </c>
      <c r="B18" s="13" t="n">
        <v>10000</v>
      </c>
      <c r="C18" s="10" t="n">
        <v>0.069</v>
      </c>
      <c r="D18" s="21" t="s">
        <v>88</v>
      </c>
    </row>
    <row r="19" customFormat="false" ht="15" hidden="false" customHeight="false" outlineLevel="0" collapsed="false">
      <c r="A19" s="20" t="s">
        <v>89</v>
      </c>
      <c r="B19" s="13" t="n">
        <v>900</v>
      </c>
      <c r="C19" s="10" t="n">
        <v>0.012</v>
      </c>
      <c r="D19" s="21" t="s">
        <v>90</v>
      </c>
    </row>
    <row r="20" customFormat="false" ht="15" hidden="false" customHeight="false" outlineLevel="0" collapsed="false">
      <c r="A20" s="19" t="s">
        <v>91</v>
      </c>
    </row>
    <row r="21" customFormat="false" ht="72" hidden="false" customHeight="true" outlineLevel="0" collapsed="false">
      <c r="A21" s="17" t="s">
        <v>92</v>
      </c>
      <c r="B21" s="17"/>
      <c r="C21" s="17"/>
      <c r="D21" s="17"/>
      <c r="E21" s="17"/>
      <c r="F21" s="17"/>
      <c r="G21" s="17"/>
      <c r="H21" s="17"/>
      <c r="I21" s="17"/>
      <c r="J21" s="17"/>
    </row>
    <row r="22" customFormat="false" ht="15" hidden="false" customHeight="false" outlineLevel="0" collapsed="false">
      <c r="A22" s="17"/>
      <c r="B22" s="17"/>
      <c r="C22" s="17"/>
      <c r="D22" s="17"/>
      <c r="E22" s="17"/>
      <c r="F22" s="17"/>
      <c r="G22" s="17"/>
      <c r="H22" s="17"/>
      <c r="I22" s="17"/>
      <c r="J22" s="17"/>
    </row>
    <row r="23" customFormat="false" ht="15" hidden="false" customHeight="false" outlineLevel="0" collapsed="false">
      <c r="A23" s="17"/>
      <c r="B23" s="17"/>
      <c r="C23" s="17"/>
      <c r="D23" s="17"/>
      <c r="E23" s="17"/>
      <c r="F23" s="17"/>
      <c r="G23" s="17"/>
      <c r="H23" s="17"/>
      <c r="I23" s="17"/>
      <c r="J23" s="17"/>
    </row>
    <row r="24" customFormat="false" ht="15" hidden="false" customHeight="false" outlineLevel="0" collapsed="false">
      <c r="A24" s="17"/>
      <c r="B24" s="17"/>
      <c r="C24" s="17"/>
      <c r="D24" s="17"/>
      <c r="E24" s="17"/>
      <c r="F24" s="17"/>
      <c r="G24" s="17"/>
      <c r="H24" s="17"/>
      <c r="I24" s="17"/>
      <c r="J24" s="17"/>
    </row>
    <row r="25" customFormat="false" ht="15" hidden="false" customHeight="false" outlineLevel="0" collapsed="false">
      <c r="A25" s="17"/>
      <c r="B25" s="17"/>
      <c r="C25" s="17"/>
      <c r="D25" s="17"/>
      <c r="E25" s="17"/>
      <c r="F25" s="17"/>
      <c r="G25" s="17"/>
      <c r="H25" s="17"/>
      <c r="I25" s="17"/>
      <c r="J25" s="17"/>
    </row>
  </sheetData>
  <mergeCells count="3">
    <mergeCell ref="A1:J1"/>
    <mergeCell ref="A2:J2"/>
    <mergeCell ref="A21:J25"/>
  </mergeCell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&amp;L内部测算口径 · 不构成收益承诺&amp;R市场与对标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E4577"/>
    <pageSetUpPr fitToPage="true"/>
  </sheetPr>
  <dimension ref="A1:K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171875" defaultRowHeight="15" customHeight="false" zeroHeight="false" outlineLevelRow="0" outlineLevelCol="0"/>
  <cols>
    <col collapsed="false" customWidth="true" hidden="false" outlineLevel="0" max="1" min="1" style="0" width="40"/>
    <col collapsed="false" customWidth="true" hidden="false" outlineLevel="0" max="10" min="2" style="0" width="13"/>
    <col collapsed="false" customWidth="true" hidden="false" outlineLevel="0" max="11" min="11" style="0" width="14"/>
  </cols>
  <sheetData>
    <row r="1" customFormat="false" ht="21.6" hidden="false" customHeight="false" outlineLevel="0" collapsed="false">
      <c r="A1" s="26" t="s">
        <v>93</v>
      </c>
      <c r="B1" s="26"/>
      <c r="C1" s="26"/>
      <c r="D1" s="26"/>
      <c r="E1" s="26"/>
      <c r="F1" s="26"/>
      <c r="G1" s="26"/>
      <c r="H1" s="26"/>
      <c r="I1" s="26"/>
      <c r="J1" s="26"/>
      <c r="K1" s="26"/>
    </row>
    <row r="2" customFormat="false" ht="15" hidden="false" customHeight="false" outlineLevel="0" collapsed="false">
      <c r="A2" s="29" t="s">
        <v>94</v>
      </c>
    </row>
    <row r="4" customFormat="false" ht="15" hidden="false" customHeight="false" outlineLevel="0" collapsed="false">
      <c r="A4" s="19" t="s">
        <v>95</v>
      </c>
    </row>
    <row r="5" customFormat="false" ht="15" hidden="false" customHeight="false" outlineLevel="0" collapsed="false">
      <c r="A5" s="5" t="s">
        <v>3</v>
      </c>
      <c r="B5" s="5" t="s">
        <v>58</v>
      </c>
      <c r="C5" s="5" t="s">
        <v>59</v>
      </c>
      <c r="D5" s="5" t="s">
        <v>60</v>
      </c>
      <c r="E5" s="5" t="s">
        <v>61</v>
      </c>
      <c r="F5" s="5" t="s">
        <v>62</v>
      </c>
      <c r="G5" s="5" t="s">
        <v>63</v>
      </c>
      <c r="H5" s="5" t="s">
        <v>64</v>
      </c>
      <c r="I5" s="5" t="s">
        <v>65</v>
      </c>
      <c r="J5" s="32" t="s">
        <v>96</v>
      </c>
      <c r="K5" s="5" t="s">
        <v>60</v>
      </c>
    </row>
    <row r="6" customFormat="false" ht="15" hidden="false" customHeight="false" outlineLevel="0" collapsed="false">
      <c r="A6" s="28" t="s">
        <v>71</v>
      </c>
      <c r="B6" s="30" t="n">
        <f aca="false">市场与对标!B6</f>
        <v>316800</v>
      </c>
      <c r="C6" s="30" t="n">
        <f aca="false">市场与对标!C6</f>
        <v>375091</v>
      </c>
      <c r="D6" s="31" t="n">
        <f aca="false">市场与对标!D6</f>
        <v>444108</v>
      </c>
      <c r="E6" s="30" t="n">
        <f aca="false">市场与对标!E6</f>
        <v>525824</v>
      </c>
      <c r="F6" s="30" t="n">
        <f aca="false">市场与对标!F6</f>
        <v>622575</v>
      </c>
      <c r="G6" s="30" t="n">
        <f aca="false">市场与对标!G6</f>
        <v>737129</v>
      </c>
      <c r="H6" s="30" t="n">
        <f aca="false">市场与对标!H6</f>
        <v>872761</v>
      </c>
      <c r="I6" s="30" t="n">
        <f aca="false">市场与对标!I6</f>
        <v>1033349</v>
      </c>
      <c r="J6" s="33" t="n">
        <f aca="false">SUM(B6:I6)</f>
        <v>4927637</v>
      </c>
      <c r="K6" s="34" t="n">
        <f aca="false">D6</f>
        <v>444108</v>
      </c>
    </row>
    <row r="7" customFormat="false" ht="15" hidden="false" customHeight="false" outlineLevel="0" collapsed="false">
      <c r="A7" s="28" t="s">
        <v>40</v>
      </c>
      <c r="B7" s="30" t="n">
        <f aca="false">通道年单!B5</f>
        <v>3300</v>
      </c>
      <c r="C7" s="30" t="n">
        <f aca="false">通道年单!C5</f>
        <v>13300</v>
      </c>
      <c r="D7" s="31" t="n">
        <f aca="false">通道年单!D5</f>
        <v>24600</v>
      </c>
      <c r="E7" s="30" t="n">
        <f aca="false">通道年单!E5</f>
        <v>33500</v>
      </c>
      <c r="F7" s="30" t="n">
        <f aca="false">通道年单!F5</f>
        <v>42300</v>
      </c>
      <c r="G7" s="30" t="n">
        <f aca="false">通道年单!G5</f>
        <v>50000</v>
      </c>
      <c r="H7" s="30" t="n">
        <f aca="false">通道年单!H5</f>
        <v>58000</v>
      </c>
      <c r="I7" s="30" t="n">
        <f aca="false">通道年单!I5</f>
        <v>66000</v>
      </c>
      <c r="J7" s="33" t="n">
        <f aca="false">SUM(B7:I7)</f>
        <v>291000</v>
      </c>
      <c r="K7" s="34" t="n">
        <f aca="false">D7</f>
        <v>24600</v>
      </c>
    </row>
    <row r="8" customFormat="false" ht="15" hidden="false" customHeight="false" outlineLevel="0" collapsed="false">
      <c r="A8" s="28" t="s">
        <v>75</v>
      </c>
      <c r="B8" s="24" t="n">
        <f aca="false">IF(B6=0,0,B7/B6)</f>
        <v>0.0104166666666667</v>
      </c>
      <c r="C8" s="24" t="n">
        <f aca="false">IF(C6=0,0,C7/C6)</f>
        <v>0.0354580621769117</v>
      </c>
      <c r="D8" s="35" t="n">
        <f aca="false">IF(D6=0,0,D7/D6)</f>
        <v>0.0553919316922911</v>
      </c>
      <c r="E8" s="24" t="n">
        <f aca="false">IF(E6=0,0,E7/E6)</f>
        <v>0.0637095301850049</v>
      </c>
      <c r="F8" s="24" t="n">
        <f aca="false">IF(F6=0,0,F7/F6)</f>
        <v>0.0679436212504518</v>
      </c>
      <c r="G8" s="24" t="n">
        <f aca="false">IF(G6=0,0,G7/G6)</f>
        <v>0.0678307324769477</v>
      </c>
      <c r="H8" s="24" t="n">
        <f aca="false">IF(H6=0,0,H7/H6)</f>
        <v>0.0664557650949114</v>
      </c>
      <c r="I8" s="24" t="n">
        <f aca="false">IF(I6=0,0,I7/I6)</f>
        <v>0.0638699993903318</v>
      </c>
      <c r="J8" s="36"/>
      <c r="K8" s="37" t="n">
        <f aca="false">D8</f>
        <v>0.0553919316922911</v>
      </c>
    </row>
    <row r="9" customFormat="false" ht="15" hidden="false" customHeight="false" outlineLevel="0" collapsed="false">
      <c r="A9" s="28" t="s">
        <v>76</v>
      </c>
      <c r="B9" s="30" t="n">
        <f aca="false">按产品线!B9</f>
        <v>1124</v>
      </c>
      <c r="C9" s="30" t="n">
        <f aca="false">按产品线!C9</f>
        <v>4788</v>
      </c>
      <c r="D9" s="31" t="n">
        <f aca="false">按产品线!D9</f>
        <v>9350</v>
      </c>
      <c r="E9" s="30" t="n">
        <f aca="false">按产品线!E9</f>
        <v>13400</v>
      </c>
      <c r="F9" s="30" t="n">
        <f aca="false">按产品线!F9</f>
        <v>17765</v>
      </c>
      <c r="G9" s="30" t="n">
        <f aca="false">按产品线!G9</f>
        <v>21498</v>
      </c>
      <c r="H9" s="30" t="n">
        <f aca="false">按产品线!H9</f>
        <v>25519</v>
      </c>
      <c r="I9" s="30" t="n">
        <f aca="false">按产品线!I9</f>
        <v>29039</v>
      </c>
      <c r="J9" s="33" t="n">
        <f aca="false">SUM(B9:I9)</f>
        <v>122483</v>
      </c>
      <c r="K9" s="34" t="n">
        <f aca="false">D9</f>
        <v>9350</v>
      </c>
    </row>
    <row r="10" customFormat="false" ht="15" hidden="false" customHeight="false" outlineLevel="0" collapsed="false">
      <c r="A10" s="28" t="s">
        <v>97</v>
      </c>
      <c r="B10" s="30" t="n">
        <f aca="false">按产品线!B13</f>
        <v>2176</v>
      </c>
      <c r="C10" s="30" t="n">
        <f aca="false">按产品线!C13</f>
        <v>8512</v>
      </c>
      <c r="D10" s="31" t="n">
        <f aca="false">按产品线!D13</f>
        <v>15250</v>
      </c>
      <c r="E10" s="30" t="n">
        <f aca="false">按产品线!E13</f>
        <v>20100</v>
      </c>
      <c r="F10" s="30" t="n">
        <f aca="false">按产品线!F13</f>
        <v>24535</v>
      </c>
      <c r="G10" s="30" t="n">
        <f aca="false">按产品线!G13</f>
        <v>28502</v>
      </c>
      <c r="H10" s="30" t="n">
        <f aca="false">按产品线!H13</f>
        <v>32481</v>
      </c>
      <c r="I10" s="30" t="n">
        <f aca="false">按产品线!I13</f>
        <v>36961</v>
      </c>
      <c r="J10" s="33" t="n">
        <f aca="false">SUM(B10:I10)</f>
        <v>168517</v>
      </c>
      <c r="K10" s="34" t="n">
        <f aca="false">D10</f>
        <v>15250</v>
      </c>
    </row>
    <row r="11" customFormat="false" ht="15" hidden="false" customHeight="false" outlineLevel="0" collapsed="false">
      <c r="A11" s="28" t="s">
        <v>41</v>
      </c>
      <c r="B11" s="30" t="n">
        <f aca="false">按产品线!B21</f>
        <v>502</v>
      </c>
      <c r="C11" s="30" t="n">
        <f aca="false">按产品线!C21</f>
        <v>2199</v>
      </c>
      <c r="D11" s="31" t="n">
        <f aca="false">按产品线!D21</f>
        <v>4197</v>
      </c>
      <c r="E11" s="30" t="n">
        <f aca="false">按产品线!E21</f>
        <v>6397</v>
      </c>
      <c r="F11" s="30" t="n">
        <f aca="false">按产品线!F21</f>
        <v>8603</v>
      </c>
      <c r="G11" s="30" t="n">
        <f aca="false">按产品线!G21</f>
        <v>10200</v>
      </c>
      <c r="H11" s="30" t="n">
        <f aca="false">按产品线!H21</f>
        <v>11799</v>
      </c>
      <c r="I11" s="30" t="n">
        <f aca="false">按产品线!I21</f>
        <v>13402</v>
      </c>
      <c r="J11" s="33" t="n">
        <f aca="false">SUM(B11:I11)</f>
        <v>57299</v>
      </c>
      <c r="K11" s="34" t="n">
        <f aca="false">D11</f>
        <v>4197</v>
      </c>
    </row>
    <row r="12" customFormat="false" ht="15" hidden="false" customHeight="false" outlineLevel="0" collapsed="false">
      <c r="A12" s="28" t="s">
        <v>98</v>
      </c>
      <c r="B12" s="30" t="n">
        <f aca="false">按产品线!B29</f>
        <v>1626</v>
      </c>
      <c r="C12" s="30" t="n">
        <f aca="false">按产品线!C29</f>
        <v>6987</v>
      </c>
      <c r="D12" s="31" t="n">
        <f aca="false">按产品线!D29</f>
        <v>13547</v>
      </c>
      <c r="E12" s="30" t="n">
        <f aca="false">按产品线!E29</f>
        <v>19797</v>
      </c>
      <c r="F12" s="30" t="n">
        <f aca="false">按产品线!F29</f>
        <v>26368</v>
      </c>
      <c r="G12" s="30" t="n">
        <f aca="false">按产品线!G29</f>
        <v>31698</v>
      </c>
      <c r="H12" s="30" t="n">
        <f aca="false">按产品线!H29</f>
        <v>37318</v>
      </c>
      <c r="I12" s="30" t="n">
        <f aca="false">按产品线!I29</f>
        <v>42441</v>
      </c>
      <c r="J12" s="33" t="n">
        <f aca="false">SUM(B12:I12)</f>
        <v>179782</v>
      </c>
      <c r="K12" s="34" t="n">
        <f aca="false">D12</f>
        <v>13547</v>
      </c>
    </row>
    <row r="14" customFormat="false" ht="17.15" hidden="false" customHeight="false" outlineLevel="0" collapsed="false">
      <c r="A14" s="19" t="s">
        <v>99</v>
      </c>
    </row>
    <row r="15" customFormat="false" ht="15" hidden="false" customHeight="false" outlineLevel="0" collapsed="false">
      <c r="A15" s="5" t="s">
        <v>100</v>
      </c>
      <c r="B15" s="5" t="s">
        <v>58</v>
      </c>
      <c r="C15" s="5" t="s">
        <v>59</v>
      </c>
      <c r="D15" s="5" t="s">
        <v>60</v>
      </c>
      <c r="E15" s="5" t="s">
        <v>61</v>
      </c>
      <c r="F15" s="5" t="s">
        <v>62</v>
      </c>
      <c r="G15" s="5" t="s">
        <v>63</v>
      </c>
      <c r="H15" s="5" t="s">
        <v>64</v>
      </c>
      <c r="I15" s="5" t="s">
        <v>65</v>
      </c>
      <c r="J15" s="32" t="s">
        <v>96</v>
      </c>
      <c r="K15" s="5" t="s">
        <v>101</v>
      </c>
    </row>
    <row r="16" customFormat="false" ht="15" hidden="false" customHeight="false" outlineLevel="0" collapsed="false">
      <c r="A16" s="20" t="s">
        <v>102</v>
      </c>
      <c r="B16" s="38" t="n">
        <f aca="false">按产品线!B26</f>
        <v>648</v>
      </c>
      <c r="C16" s="38" t="n">
        <f aca="false">按产品线!C26</f>
        <v>2783</v>
      </c>
      <c r="D16" s="34" t="n">
        <f aca="false">按产品线!D26</f>
        <v>4392</v>
      </c>
      <c r="E16" s="38" t="n">
        <f aca="false">按产品线!E26</f>
        <v>6425</v>
      </c>
      <c r="F16" s="38" t="n">
        <f aca="false">按产品线!F26</f>
        <v>8560</v>
      </c>
      <c r="G16" s="38" t="n">
        <f aca="false">按产品线!G26</f>
        <v>10287</v>
      </c>
      <c r="H16" s="38" t="n">
        <f aca="false">按产品线!H26</f>
        <v>12107</v>
      </c>
      <c r="I16" s="38" t="n">
        <f aca="false">按产品线!I26</f>
        <v>13768</v>
      </c>
      <c r="J16" s="33" t="n">
        <f aca="false">SUM(B16:I16)</f>
        <v>58970</v>
      </c>
      <c r="K16" s="39" t="n">
        <f aca="false">IF($D$19=0,0,D16/$D$19)</f>
        <v>0.324204620949288</v>
      </c>
    </row>
    <row r="17" customFormat="false" ht="15" hidden="false" customHeight="false" outlineLevel="0" collapsed="false">
      <c r="A17" s="20" t="s">
        <v>103</v>
      </c>
      <c r="B17" s="38" t="n">
        <f aca="false">按产品线!B27</f>
        <v>615</v>
      </c>
      <c r="C17" s="38" t="n">
        <f aca="false">按产品线!C27</f>
        <v>2647</v>
      </c>
      <c r="D17" s="34" t="n">
        <f aca="false">按产品线!D27</f>
        <v>6039</v>
      </c>
      <c r="E17" s="38" t="n">
        <f aca="false">按产品线!E27</f>
        <v>8811</v>
      </c>
      <c r="F17" s="38" t="n">
        <f aca="false">按产品线!F27</f>
        <v>11731</v>
      </c>
      <c r="G17" s="38" t="n">
        <f aca="false">按产品线!G27</f>
        <v>14110</v>
      </c>
      <c r="H17" s="38" t="n">
        <f aca="false">按产品线!H27</f>
        <v>16622</v>
      </c>
      <c r="I17" s="38" t="n">
        <f aca="false">按产品线!I27</f>
        <v>18905</v>
      </c>
      <c r="J17" s="33" t="n">
        <f aca="false">SUM(B17:I17)</f>
        <v>79480</v>
      </c>
      <c r="K17" s="39" t="n">
        <f aca="false">IF($D$19=0,0,D17/$D$19)</f>
        <v>0.445781353805271</v>
      </c>
    </row>
    <row r="18" customFormat="false" ht="15" hidden="false" customHeight="false" outlineLevel="0" collapsed="false">
      <c r="A18" s="20" t="s">
        <v>104</v>
      </c>
      <c r="B18" s="38" t="n">
        <f aca="false">按产品线!B28</f>
        <v>363</v>
      </c>
      <c r="C18" s="38" t="n">
        <f aca="false">按产品线!C28</f>
        <v>1557</v>
      </c>
      <c r="D18" s="34" t="n">
        <f aca="false">按产品线!D28</f>
        <v>3116</v>
      </c>
      <c r="E18" s="38" t="n">
        <f aca="false">按产品线!E28</f>
        <v>4561</v>
      </c>
      <c r="F18" s="38" t="n">
        <f aca="false">按产品线!F28</f>
        <v>6077</v>
      </c>
      <c r="G18" s="38" t="n">
        <f aca="false">按产品线!G28</f>
        <v>7301</v>
      </c>
      <c r="H18" s="38" t="n">
        <f aca="false">按产品线!H28</f>
        <v>8589</v>
      </c>
      <c r="I18" s="38" t="n">
        <f aca="false">按产品线!I28</f>
        <v>9768</v>
      </c>
      <c r="J18" s="33" t="n">
        <f aca="false">SUM(B18:I18)</f>
        <v>41332</v>
      </c>
      <c r="K18" s="39" t="n">
        <f aca="false">IF($D$19=0,0,D18/$D$19)</f>
        <v>0.230014025245442</v>
      </c>
    </row>
    <row r="19" customFormat="false" ht="15" hidden="false" customHeight="false" outlineLevel="0" collapsed="false">
      <c r="A19" s="36" t="s">
        <v>39</v>
      </c>
      <c r="B19" s="33" t="n">
        <f aca="false">SUM(B16:B18)</f>
        <v>1626</v>
      </c>
      <c r="C19" s="33" t="n">
        <f aca="false">SUM(C16:C18)</f>
        <v>6987</v>
      </c>
      <c r="D19" s="33" t="n">
        <f aca="false">SUM(D16:D18)</f>
        <v>13547</v>
      </c>
      <c r="E19" s="33" t="n">
        <f aca="false">SUM(E16:E18)</f>
        <v>19797</v>
      </c>
      <c r="F19" s="33" t="n">
        <f aca="false">SUM(F16:F18)</f>
        <v>26368</v>
      </c>
      <c r="G19" s="33" t="n">
        <f aca="false">SUM(G16:G18)</f>
        <v>31698</v>
      </c>
      <c r="H19" s="33" t="n">
        <f aca="false">SUM(H16:H18)</f>
        <v>37318</v>
      </c>
      <c r="I19" s="33" t="n">
        <f aca="false">SUM(I16:I18)</f>
        <v>42441</v>
      </c>
      <c r="J19" s="33" t="n">
        <f aca="false">SUM(J16:J18)</f>
        <v>179782</v>
      </c>
      <c r="K19" s="40" t="n">
        <f aca="false">1</f>
        <v>1</v>
      </c>
    </row>
    <row r="21" customFormat="false" ht="17.15" hidden="false" customHeight="false" outlineLevel="0" collapsed="false">
      <c r="A21" s="19" t="s">
        <v>105</v>
      </c>
    </row>
    <row r="22" customFormat="false" ht="15" hidden="false" customHeight="false" outlineLevel="0" collapsed="false">
      <c r="A22" s="5" t="s">
        <v>3</v>
      </c>
      <c r="B22" s="5" t="s">
        <v>4</v>
      </c>
      <c r="C22" s="5" t="s">
        <v>5</v>
      </c>
      <c r="D22" s="5" t="s">
        <v>6</v>
      </c>
    </row>
    <row r="23" customFormat="false" ht="15" hidden="false" customHeight="false" outlineLevel="0" collapsed="false">
      <c r="A23" s="20" t="s">
        <v>106</v>
      </c>
      <c r="B23" s="10" t="n">
        <v>0.35</v>
      </c>
      <c r="C23" s="20" t="s">
        <v>11</v>
      </c>
      <c r="D23" s="21" t="s">
        <v>107</v>
      </c>
    </row>
    <row r="24" customFormat="false" ht="15" hidden="false" customHeight="false" outlineLevel="0" collapsed="false">
      <c r="A24" s="20" t="s">
        <v>108</v>
      </c>
      <c r="B24" s="41" t="n">
        <v>90</v>
      </c>
      <c r="C24" s="20" t="s">
        <v>109</v>
      </c>
      <c r="D24" s="21" t="s">
        <v>110</v>
      </c>
    </row>
    <row r="25" customFormat="false" ht="15" hidden="false" customHeight="false" outlineLevel="0" collapsed="false">
      <c r="A25" s="20" t="s">
        <v>111</v>
      </c>
      <c r="B25" s="28" t="s">
        <v>112</v>
      </c>
      <c r="C25" s="20" t="s">
        <v>113</v>
      </c>
      <c r="D25" s="21" t="s">
        <v>114</v>
      </c>
    </row>
    <row r="26" customFormat="false" ht="15" hidden="false" customHeight="false" outlineLevel="0" collapsed="false">
      <c r="A26" s="20" t="s">
        <v>115</v>
      </c>
      <c r="B26" s="10" t="n">
        <v>0.12</v>
      </c>
      <c r="C26" s="20" t="s">
        <v>11</v>
      </c>
      <c r="D26" s="21" t="s">
        <v>116</v>
      </c>
    </row>
    <row r="27" customFormat="false" ht="15" hidden="false" customHeight="false" outlineLevel="0" collapsed="false">
      <c r="A27" s="22" t="s">
        <v>117</v>
      </c>
    </row>
    <row r="28" customFormat="false" ht="15" hidden="false" customHeight="false" outlineLevel="0" collapsed="false">
      <c r="A28" s="5" t="s">
        <v>3</v>
      </c>
      <c r="B28" s="5" t="s">
        <v>58</v>
      </c>
      <c r="C28" s="5" t="s">
        <v>59</v>
      </c>
      <c r="D28" s="5" t="s">
        <v>60</v>
      </c>
      <c r="E28" s="5" t="s">
        <v>61</v>
      </c>
      <c r="F28" s="5" t="s">
        <v>62</v>
      </c>
      <c r="G28" s="5" t="s">
        <v>63</v>
      </c>
      <c r="H28" s="5" t="s">
        <v>64</v>
      </c>
      <c r="I28" s="5" t="s">
        <v>65</v>
      </c>
    </row>
    <row r="29" customFormat="false" ht="15" hidden="false" customHeight="false" outlineLevel="0" collapsed="false">
      <c r="A29" s="0" t="s">
        <v>118</v>
      </c>
      <c r="B29" s="30" t="n">
        <f aca="false">ROUND(通道年单!B5*$B$26,0)</f>
        <v>396</v>
      </c>
      <c r="C29" s="30" t="n">
        <f aca="false">ROUND(通道年单!C5*$B$26,0)</f>
        <v>1596</v>
      </c>
      <c r="D29" s="31" t="n">
        <f aca="false">ROUND(通道年单!D5*$B$26,0)</f>
        <v>2952</v>
      </c>
      <c r="E29" s="30" t="n">
        <f aca="false">ROUND(通道年单!E5*$B$26,0)</f>
        <v>4020</v>
      </c>
      <c r="F29" s="30" t="n">
        <f aca="false">ROUND(通道年单!F5*$B$26,0)</f>
        <v>5076</v>
      </c>
      <c r="G29" s="30" t="n">
        <f aca="false">ROUND(通道年单!G5*$B$26,0)</f>
        <v>6000</v>
      </c>
      <c r="H29" s="30" t="n">
        <f aca="false">ROUND(通道年单!H5*$B$26,0)</f>
        <v>6960</v>
      </c>
      <c r="I29" s="30" t="n">
        <f aca="false">ROUND(通道年单!I5*$B$26,0)</f>
        <v>7920</v>
      </c>
    </row>
    <row r="30" customFormat="false" ht="15" hidden="false" customHeight="false" outlineLevel="0" collapsed="false">
      <c r="A30" s="0" t="s">
        <v>119</v>
      </c>
      <c r="B30" s="30" t="n">
        <f aca="false">B29</f>
        <v>396</v>
      </c>
      <c r="C30" s="30" t="n">
        <f aca="false">C29-B29</f>
        <v>1200</v>
      </c>
      <c r="D30" s="30" t="n">
        <f aca="false">D29-C29</f>
        <v>1356</v>
      </c>
      <c r="E30" s="30" t="n">
        <f aca="false">E29-D29</f>
        <v>1068</v>
      </c>
      <c r="F30" s="30" t="n">
        <f aca="false">F29-E29</f>
        <v>1056</v>
      </c>
      <c r="G30" s="30" t="n">
        <f aca="false">G29-F29</f>
        <v>924</v>
      </c>
      <c r="H30" s="30" t="n">
        <f aca="false">H29-G29</f>
        <v>960</v>
      </c>
      <c r="I30" s="30" t="n">
        <f aca="false">I29-H29</f>
        <v>960</v>
      </c>
    </row>
    <row r="32" customFormat="false" ht="17.15" hidden="false" customHeight="false" outlineLevel="0" collapsed="false">
      <c r="A32" s="19" t="s">
        <v>120</v>
      </c>
    </row>
    <row r="33" customFormat="false" ht="15" hidden="false" customHeight="false" outlineLevel="0" collapsed="false">
      <c r="A33" s="5" t="s">
        <v>3</v>
      </c>
      <c r="B33" s="5" t="s">
        <v>121</v>
      </c>
      <c r="C33" s="5" t="s">
        <v>122</v>
      </c>
    </row>
    <row r="34" customFormat="false" ht="17.15" hidden="false" customHeight="false" outlineLevel="0" collapsed="false">
      <c r="A34" s="20" t="s">
        <v>123</v>
      </c>
      <c r="B34" s="30" t="n">
        <f aca="false">F9</f>
        <v>17765</v>
      </c>
      <c r="C34" s="21" t="s">
        <v>124</v>
      </c>
    </row>
    <row r="35" customFormat="false" ht="17.15" hidden="false" customHeight="false" outlineLevel="0" collapsed="false">
      <c r="A35" s="20" t="s">
        <v>125</v>
      </c>
      <c r="B35" s="30" t="n">
        <f aca="false">F12</f>
        <v>26368</v>
      </c>
      <c r="C35" s="21" t="s">
        <v>126</v>
      </c>
    </row>
    <row r="36" customFormat="false" ht="17.15" hidden="false" customHeight="false" outlineLevel="0" collapsed="false">
      <c r="A36" s="20" t="s">
        <v>127</v>
      </c>
      <c r="B36" s="13" t="n">
        <v>62000</v>
      </c>
      <c r="C36" s="21" t="s">
        <v>128</v>
      </c>
    </row>
    <row r="37" customFormat="false" ht="17.15" hidden="false" customHeight="false" outlineLevel="0" collapsed="false">
      <c r="A37" s="20" t="s">
        <v>129</v>
      </c>
      <c r="B37" s="24" t="n">
        <f aca="false">IF(B36=0,0,B34/B36)</f>
        <v>0.286532258064516</v>
      </c>
      <c r="C37" s="21" t="s">
        <v>130</v>
      </c>
    </row>
    <row r="39" customFormat="false" ht="15" hidden="false" customHeight="false" outlineLevel="0" collapsed="false">
      <c r="A39" s="27" t="s">
        <v>131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</row>
  </sheetData>
  <mergeCells count="2">
    <mergeCell ref="A1:K1"/>
    <mergeCell ref="A39:K39"/>
  </mergeCell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&amp;L测算数据不构成收益承诺&amp;R销售测算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7A3226"/>
    <pageSetUpPr fitToPage="true"/>
  </sheetPr>
  <dimension ref="A1:J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7.89453125" defaultRowHeight="15" customHeight="false" zeroHeight="false" outlineLevelRow="0" outlineLevelCol="0"/>
  <cols>
    <col collapsed="false" customWidth="true" hidden="false" outlineLevel="0" max="1" min="1" style="1" width="25.47"/>
    <col collapsed="false" customWidth="true" hidden="false" outlineLevel="0" max="9" min="2" style="1" width="11.83"/>
    <col collapsed="false" customWidth="true" hidden="false" outlineLevel="0" max="10" min="10" style="1" width="12.74"/>
  </cols>
  <sheetData>
    <row r="1" customFormat="false" ht="17.25" hidden="false" customHeight="true" outlineLevel="0" collapsed="false">
      <c r="A1" s="2" t="s">
        <v>132</v>
      </c>
      <c r="B1" s="2"/>
      <c r="C1" s="2"/>
      <c r="D1" s="2"/>
      <c r="E1" s="2"/>
      <c r="F1" s="2"/>
      <c r="G1" s="2"/>
      <c r="H1" s="2"/>
      <c r="I1" s="2"/>
      <c r="J1" s="2"/>
    </row>
    <row r="2" customFormat="false" ht="13.5" hidden="false" customHeight="true" outlineLevel="0" collapsed="false">
      <c r="A2" s="3" t="s">
        <v>133</v>
      </c>
      <c r="B2" s="3"/>
      <c r="C2" s="3"/>
      <c r="D2" s="3"/>
      <c r="E2" s="3"/>
      <c r="F2" s="3"/>
      <c r="G2" s="3"/>
      <c r="H2" s="3"/>
      <c r="I2" s="3"/>
      <c r="J2" s="3"/>
    </row>
    <row r="4" customFormat="false" ht="15" hidden="false" customHeight="true" outlineLevel="0" collapsed="false">
      <c r="A4" s="5" t="s">
        <v>3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  <c r="H4" s="5" t="s">
        <v>37</v>
      </c>
      <c r="I4" s="5" t="s">
        <v>38</v>
      </c>
      <c r="J4" s="32" t="s">
        <v>96</v>
      </c>
    </row>
    <row r="5" customFormat="false" ht="15" hidden="false" customHeight="true" outlineLevel="0" collapsed="false">
      <c r="A5" s="16" t="s">
        <v>134</v>
      </c>
      <c r="B5" s="42" t="n">
        <f aca="false">假设!B22</f>
        <v>3300</v>
      </c>
      <c r="C5" s="42" t="n">
        <f aca="false">假设!C22</f>
        <v>13300</v>
      </c>
      <c r="D5" s="43" t="n">
        <f aca="false">假设!D22</f>
        <v>24600</v>
      </c>
      <c r="E5" s="42" t="n">
        <f aca="false">假设!E22</f>
        <v>33500</v>
      </c>
      <c r="F5" s="42" t="n">
        <f aca="false">假设!F22</f>
        <v>42300</v>
      </c>
      <c r="G5" s="42" t="n">
        <f aca="false">假设!G22</f>
        <v>50000</v>
      </c>
      <c r="H5" s="42" t="n">
        <f aca="false">假设!H22</f>
        <v>58000</v>
      </c>
      <c r="I5" s="42" t="n">
        <f aca="false">假设!I22</f>
        <v>66000</v>
      </c>
      <c r="J5" s="44" t="n">
        <f aca="false">SUM(B5:I5)</f>
        <v>291000</v>
      </c>
    </row>
    <row r="6" customFormat="false" ht="15" hidden="false" customHeight="true" outlineLevel="0" collapsed="false">
      <c r="A6" s="12" t="s">
        <v>135</v>
      </c>
      <c r="B6" s="42" t="n">
        <f aca="false">B5*假设!$B$16</f>
        <v>1485</v>
      </c>
      <c r="C6" s="42" t="n">
        <f aca="false">C5*假设!$B$16</f>
        <v>5985</v>
      </c>
      <c r="D6" s="42" t="n">
        <f aca="false">D5*假设!$B$16</f>
        <v>11070</v>
      </c>
      <c r="E6" s="42" t="n">
        <f aca="false">E5*假设!$B$16</f>
        <v>15075</v>
      </c>
      <c r="F6" s="42" t="n">
        <f aca="false">F5*假设!$B$16</f>
        <v>19035</v>
      </c>
      <c r="G6" s="42" t="n">
        <f aca="false">G5*假设!$B$16</f>
        <v>22500</v>
      </c>
      <c r="H6" s="42" t="n">
        <f aca="false">H5*假设!$B$16</f>
        <v>26100</v>
      </c>
      <c r="I6" s="42" t="n">
        <f aca="false">I5*假设!$B$16</f>
        <v>29700</v>
      </c>
      <c r="J6" s="44" t="n">
        <f aca="false">SUM(B6:I6)</f>
        <v>130950</v>
      </c>
    </row>
    <row r="7" customFormat="false" ht="15" hidden="false" customHeight="true" outlineLevel="0" collapsed="false">
      <c r="A7" s="12" t="s">
        <v>136</v>
      </c>
      <c r="B7" s="42" t="n">
        <f aca="false">B5*假设!$D$16</f>
        <v>5610</v>
      </c>
      <c r="C7" s="42" t="n">
        <f aca="false">C5*假设!$D$16</f>
        <v>22610</v>
      </c>
      <c r="D7" s="42" t="n">
        <f aca="false">D5*假设!$D$16</f>
        <v>41820</v>
      </c>
      <c r="E7" s="42" t="n">
        <f aca="false">E5*假设!$D$16</f>
        <v>56950</v>
      </c>
      <c r="F7" s="42" t="n">
        <f aca="false">F5*假设!$D$16</f>
        <v>71910</v>
      </c>
      <c r="G7" s="42" t="n">
        <f aca="false">G5*假设!$D$16</f>
        <v>85000</v>
      </c>
      <c r="H7" s="42" t="n">
        <f aca="false">H5*假设!$D$16</f>
        <v>98600</v>
      </c>
      <c r="I7" s="42" t="n">
        <f aca="false">I5*假设!$D$16</f>
        <v>112200</v>
      </c>
      <c r="J7" s="44" t="n">
        <f aca="false">SUM(B7:I7)</f>
        <v>494700</v>
      </c>
    </row>
    <row r="9" customFormat="false" ht="15" hidden="false" customHeight="true" outlineLevel="0" collapsed="false">
      <c r="A9" s="12" t="s">
        <v>137</v>
      </c>
      <c r="B9" s="42" t="n">
        <f aca="false">B5*假设!$B$9</f>
        <v>1254</v>
      </c>
      <c r="C9" s="42" t="n">
        <f aca="false">C5*假设!$B$9</f>
        <v>5054</v>
      </c>
      <c r="D9" s="42" t="n">
        <f aca="false">D5*假设!$B$9</f>
        <v>9348</v>
      </c>
      <c r="E9" s="42" t="n">
        <f aca="false">E5*假设!$B$9</f>
        <v>12730</v>
      </c>
      <c r="F9" s="42" t="n">
        <f aca="false">F5*假设!$B$9</f>
        <v>16074</v>
      </c>
      <c r="G9" s="42" t="n">
        <f aca="false">G5*假设!$B$9</f>
        <v>19000</v>
      </c>
      <c r="H9" s="42" t="n">
        <f aca="false">H5*假设!$B$9</f>
        <v>22040</v>
      </c>
      <c r="I9" s="42" t="n">
        <f aca="false">I5*假设!$B$9</f>
        <v>25080</v>
      </c>
      <c r="J9" s="44" t="n">
        <f aca="false">SUM(B9:I9)</f>
        <v>110580</v>
      </c>
    </row>
    <row r="10" customFormat="false" ht="15" hidden="false" customHeight="true" outlineLevel="0" collapsed="false">
      <c r="B10" s="45" t="s">
        <v>24</v>
      </c>
      <c r="C10" s="45" t="s">
        <v>25</v>
      </c>
      <c r="D10" s="45" t="s">
        <v>26</v>
      </c>
    </row>
    <row r="11" customFormat="false" ht="15" hidden="false" customHeight="true" outlineLevel="0" collapsed="false">
      <c r="A11" s="16" t="s">
        <v>138</v>
      </c>
      <c r="B11" s="46" t="n">
        <f aca="false">D6/10000</f>
        <v>1.107</v>
      </c>
      <c r="C11" s="47" t="n">
        <f aca="false">D5/10000</f>
        <v>2.46</v>
      </c>
      <c r="D11" s="46" t="n">
        <f aca="false">D7/10000</f>
        <v>4.182</v>
      </c>
    </row>
    <row r="13" customFormat="false" ht="15" hidden="false" customHeight="true" outlineLevel="0" collapsed="false">
      <c r="A13" s="4" t="s">
        <v>139</v>
      </c>
    </row>
    <row r="14" customFormat="false" ht="15" hidden="false" customHeight="true" outlineLevel="0" collapsed="false">
      <c r="A14" s="12" t="s">
        <v>140</v>
      </c>
      <c r="B14" s="46" t="n">
        <f aca="false">J5/10000</f>
        <v>29.1</v>
      </c>
    </row>
    <row r="15" customFormat="false" ht="15" hidden="false" customHeight="true" outlineLevel="0" collapsed="false">
      <c r="A15" s="12" t="s">
        <v>141</v>
      </c>
      <c r="B15" s="48" t="n">
        <v>1.73</v>
      </c>
      <c r="C15" s="49" t="s">
        <v>142</v>
      </c>
    </row>
    <row r="17" customFormat="false" ht="13.5" hidden="false" customHeight="true" outlineLevel="0" collapsed="false">
      <c r="A17" s="3" t="s">
        <v>143</v>
      </c>
      <c r="B17" s="3"/>
      <c r="C17" s="3"/>
      <c r="D17" s="3"/>
      <c r="E17" s="3"/>
      <c r="F17" s="3"/>
      <c r="G17" s="3"/>
      <c r="H17" s="3"/>
      <c r="I17" s="3"/>
      <c r="J17" s="3"/>
    </row>
  </sheetData>
  <mergeCells count="3">
    <mergeCell ref="A1:J1"/>
    <mergeCell ref="A2:J2"/>
    <mergeCell ref="A17:J17"/>
  </mergeCell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&amp;L&amp;"Calibri,Regular"测算数据不构成收益承诺&amp;R&amp;"Calibri,Regular"通道年单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7A3226"/>
    <pageSetUpPr fitToPage="true"/>
  </sheetPr>
  <dimension ref="A1:R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7" ySplit="5" topLeftCell="H6" activePane="bottomRight" state="frozen"/>
      <selection pane="topLeft" activeCell="A1" activeCellId="0" sqref="A1"/>
      <selection pane="topRight" activeCell="H1" activeCellId="0" sqref="H1"/>
      <selection pane="bottomLeft" activeCell="A6" activeCellId="0" sqref="A6"/>
      <selection pane="bottomRight" activeCell="A1" activeCellId="0" sqref="A1"/>
    </sheetView>
  </sheetViews>
  <sheetFormatPr defaultColWidth="8.6171875" defaultRowHeight="15" customHeight="false" zeroHeight="false" outlineLevelRow="0" outlineLevelCol="0"/>
  <cols>
    <col collapsed="false" customWidth="true" hidden="false" outlineLevel="0" max="1" min="1" style="1" width="10"/>
    <col collapsed="false" customWidth="true" hidden="false" outlineLevel="0" max="3" min="2" style="1" width="26"/>
    <col collapsed="false" customWidth="true" hidden="false" outlineLevel="0" max="4" min="4" style="1" width="20"/>
    <col collapsed="false" customWidth="true" hidden="false" outlineLevel="0" max="6" min="5" style="1" width="12"/>
    <col collapsed="false" customWidth="true" hidden="false" outlineLevel="0" max="7" min="7" style="1" width="36"/>
    <col collapsed="false" customWidth="true" hidden="false" outlineLevel="0" max="15" min="8" style="1" width="12"/>
    <col collapsed="false" customWidth="true" hidden="false" outlineLevel="0" max="17" min="16" style="1" width="13"/>
    <col collapsed="false" customWidth="true" hidden="false" outlineLevel="0" max="18" min="18" style="1" width="12"/>
  </cols>
  <sheetData>
    <row r="1" customFormat="false" ht="21" hidden="false" customHeight="true" outlineLevel="0" collapsed="false">
      <c r="A1" s="2" t="s">
        <v>144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customFormat="false" ht="27.75" hidden="false" customHeight="true" outlineLevel="0" collapsed="false">
      <c r="A2" s="50" t="s">
        <v>145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</row>
    <row r="3" customFormat="false" ht="15" hidden="false" customHeight="true" outlineLevel="0" collapsed="false">
      <c r="A3" s="50"/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</row>
    <row r="4" customFormat="false" ht="15" hidden="false" customHeight="true" outlineLevel="0" collapsed="false">
      <c r="A4" s="4" t="s">
        <v>146</v>
      </c>
    </row>
    <row r="5" customFormat="false" ht="21.75" hidden="false" customHeight="true" outlineLevel="0" collapsed="false">
      <c r="A5" s="5" t="s">
        <v>147</v>
      </c>
      <c r="B5" s="5" t="s">
        <v>148</v>
      </c>
      <c r="C5" s="5" t="s">
        <v>149</v>
      </c>
      <c r="D5" s="5" t="s">
        <v>150</v>
      </c>
      <c r="E5" s="5" t="s">
        <v>151</v>
      </c>
      <c r="F5" s="5" t="s">
        <v>152</v>
      </c>
      <c r="G5" s="5" t="s">
        <v>6</v>
      </c>
      <c r="H5" s="5" t="s">
        <v>31</v>
      </c>
      <c r="I5" s="5" t="s">
        <v>32</v>
      </c>
      <c r="J5" s="5" t="s">
        <v>33</v>
      </c>
      <c r="K5" s="5" t="s">
        <v>34</v>
      </c>
      <c r="L5" s="5" t="s">
        <v>35</v>
      </c>
      <c r="M5" s="5" t="s">
        <v>36</v>
      </c>
      <c r="N5" s="5" t="s">
        <v>37</v>
      </c>
      <c r="O5" s="5" t="s">
        <v>38</v>
      </c>
      <c r="P5" s="32" t="s">
        <v>96</v>
      </c>
      <c r="Q5" s="5" t="s">
        <v>153</v>
      </c>
      <c r="R5" s="5" t="s">
        <v>154</v>
      </c>
    </row>
    <row r="6" customFormat="false" ht="15" hidden="false" customHeight="true" outlineLevel="0" collapsed="false">
      <c r="A6" s="51" t="s">
        <v>155</v>
      </c>
      <c r="B6" s="52" t="s">
        <v>156</v>
      </c>
      <c r="C6" s="52" t="s">
        <v>157</v>
      </c>
      <c r="D6" s="52" t="s">
        <v>158</v>
      </c>
      <c r="E6" s="10" t="n">
        <v>0.1</v>
      </c>
      <c r="F6" s="10" t="n">
        <v>0.28</v>
      </c>
      <c r="G6" s="53" t="s">
        <v>159</v>
      </c>
      <c r="H6" s="54" t="n">
        <f aca="false">ROUND(通道年单!B5*E6,0)</f>
        <v>330</v>
      </c>
      <c r="I6" s="54" t="n">
        <f aca="false">ROUND(通道年单!C5*E6,0)</f>
        <v>1330</v>
      </c>
      <c r="J6" s="43" t="n">
        <f aca="false">ROUND(通道年单!D5*F6,0)</f>
        <v>6888</v>
      </c>
      <c r="K6" s="54" t="n">
        <f aca="false">ROUND(通道年单!E5*F6,0)</f>
        <v>9380</v>
      </c>
      <c r="L6" s="54" t="n">
        <f aca="false">ROUND(通道年单!F5*F6,0)</f>
        <v>11844</v>
      </c>
      <c r="M6" s="54" t="n">
        <f aca="false">ROUND(通道年单!G5*F6,0)</f>
        <v>14000</v>
      </c>
      <c r="N6" s="54" t="n">
        <f aca="false">ROUND(通道年单!H5*F6,0)</f>
        <v>16240</v>
      </c>
      <c r="O6" s="54" t="n">
        <f aca="false">ROUND(通道年单!I5*F6,0)</f>
        <v>18480</v>
      </c>
      <c r="P6" s="44" t="n">
        <f aca="false">SUM(H6:O6)</f>
        <v>78492</v>
      </c>
      <c r="Q6" s="43" t="n">
        <f aca="false">J6</f>
        <v>6888</v>
      </c>
      <c r="R6" s="54" t="n">
        <f aca="false">ROUND(P6*假设!$B$9,0)</f>
        <v>29827</v>
      </c>
    </row>
    <row r="7" customFormat="false" ht="15" hidden="false" customHeight="true" outlineLevel="0" collapsed="false">
      <c r="A7" s="51" t="s">
        <v>155</v>
      </c>
      <c r="B7" s="52" t="s">
        <v>156</v>
      </c>
      <c r="C7" s="52" t="s">
        <v>160</v>
      </c>
      <c r="D7" s="52" t="s">
        <v>158</v>
      </c>
      <c r="E7" s="10" t="n">
        <v>0.06</v>
      </c>
      <c r="F7" s="10" t="n">
        <v>0.1</v>
      </c>
      <c r="G7" s="53" t="s">
        <v>161</v>
      </c>
      <c r="H7" s="54" t="n">
        <f aca="false">ROUND(通道年单!B5*E7,0)</f>
        <v>198</v>
      </c>
      <c r="I7" s="54" t="n">
        <f aca="false">ROUND(通道年单!C5*E7,0)</f>
        <v>798</v>
      </c>
      <c r="J7" s="43" t="n">
        <f aca="false">ROUND(通道年单!D5*F7,0)</f>
        <v>2460</v>
      </c>
      <c r="K7" s="54" t="n">
        <f aca="false">ROUND(通道年单!E5*F7,0)</f>
        <v>3350</v>
      </c>
      <c r="L7" s="54" t="n">
        <f aca="false">ROUND(通道年单!F5*F7,0)</f>
        <v>4230</v>
      </c>
      <c r="M7" s="54" t="n">
        <f aca="false">ROUND(通道年单!G5*F7,0)</f>
        <v>5000</v>
      </c>
      <c r="N7" s="54" t="n">
        <f aca="false">ROUND(通道年单!H5*F7,0)</f>
        <v>5800</v>
      </c>
      <c r="O7" s="54" t="n">
        <f aca="false">ROUND(通道年单!I5*F7,0)</f>
        <v>6600</v>
      </c>
      <c r="P7" s="44" t="n">
        <f aca="false">SUM(H7:O7)</f>
        <v>28436</v>
      </c>
      <c r="Q7" s="43" t="n">
        <f aca="false">J7</f>
        <v>2460</v>
      </c>
      <c r="R7" s="54" t="n">
        <f aca="false">ROUND(P7*假设!$B$9,0)</f>
        <v>10806</v>
      </c>
    </row>
    <row r="8" customFormat="false" ht="15" hidden="false" customHeight="true" outlineLevel="0" collapsed="false">
      <c r="A8" s="51" t="s">
        <v>155</v>
      </c>
      <c r="B8" s="52" t="s">
        <v>156</v>
      </c>
      <c r="C8" s="52" t="s">
        <v>162</v>
      </c>
      <c r="D8" s="52" t="s">
        <v>163</v>
      </c>
      <c r="E8" s="10" t="n">
        <v>0.04</v>
      </c>
      <c r="F8" s="10" t="n">
        <v>0.05</v>
      </c>
      <c r="G8" s="53" t="s">
        <v>164</v>
      </c>
      <c r="H8" s="54" t="n">
        <f aca="false">ROUND(通道年单!B5*E8,0)</f>
        <v>132</v>
      </c>
      <c r="I8" s="54" t="n">
        <f aca="false">ROUND(通道年单!C5*E8,0)</f>
        <v>532</v>
      </c>
      <c r="J8" s="43" t="n">
        <f aca="false">ROUND(通道年单!D5*F8,0)</f>
        <v>1230</v>
      </c>
      <c r="K8" s="54" t="n">
        <f aca="false">ROUND(通道年单!E5*F8,0)</f>
        <v>1675</v>
      </c>
      <c r="L8" s="54" t="n">
        <f aca="false">ROUND(通道年单!F5*F8,0)</f>
        <v>2115</v>
      </c>
      <c r="M8" s="54" t="n">
        <f aca="false">ROUND(通道年单!G5*F8,0)</f>
        <v>2500</v>
      </c>
      <c r="N8" s="54" t="n">
        <f aca="false">ROUND(通道年单!H5*F8,0)</f>
        <v>2900</v>
      </c>
      <c r="O8" s="54" t="n">
        <f aca="false">ROUND(通道年单!I5*F8,0)</f>
        <v>3300</v>
      </c>
      <c r="P8" s="44" t="n">
        <f aca="false">SUM(H8:O8)</f>
        <v>14384</v>
      </c>
      <c r="Q8" s="43" t="n">
        <f aca="false">J8</f>
        <v>1230</v>
      </c>
      <c r="R8" s="54" t="n">
        <f aca="false">ROUND(P8*假设!$B$9,0)</f>
        <v>5466</v>
      </c>
    </row>
    <row r="9" customFormat="false" ht="15" hidden="false" customHeight="true" outlineLevel="0" collapsed="false">
      <c r="A9" s="51" t="s">
        <v>155</v>
      </c>
      <c r="B9" s="52" t="s">
        <v>165</v>
      </c>
      <c r="C9" s="52" t="s">
        <v>157</v>
      </c>
      <c r="D9" s="52" t="s">
        <v>163</v>
      </c>
      <c r="E9" s="10" t="n">
        <v>0.16</v>
      </c>
      <c r="F9" s="10" t="n">
        <v>0.14</v>
      </c>
      <c r="G9" s="53" t="s">
        <v>166</v>
      </c>
      <c r="H9" s="54" t="n">
        <f aca="false">ROUND(通道年单!B5*E9,0)</f>
        <v>528</v>
      </c>
      <c r="I9" s="54" t="n">
        <f aca="false">ROUND(通道年单!C5*E9,0)</f>
        <v>2128</v>
      </c>
      <c r="J9" s="43" t="n">
        <f aca="false">ROUND(通道年单!D5*F9,0)</f>
        <v>3444</v>
      </c>
      <c r="K9" s="54" t="n">
        <f aca="false">ROUND(通道年单!E5*F9,0)</f>
        <v>4690</v>
      </c>
      <c r="L9" s="54" t="n">
        <f aca="false">ROUND(通道年单!F5*F9,0)</f>
        <v>5922</v>
      </c>
      <c r="M9" s="54" t="n">
        <f aca="false">ROUND(通道年单!G5*F9,0)</f>
        <v>7000</v>
      </c>
      <c r="N9" s="54" t="n">
        <f aca="false">ROUND(通道年单!H5*F9,0)</f>
        <v>8120</v>
      </c>
      <c r="O9" s="54" t="n">
        <f aca="false">ROUND(通道年单!I5*F9,0)</f>
        <v>9240</v>
      </c>
      <c r="P9" s="44" t="n">
        <f aca="false">SUM(H9:O9)</f>
        <v>41072</v>
      </c>
      <c r="Q9" s="43" t="n">
        <f aca="false">J9</f>
        <v>3444</v>
      </c>
      <c r="R9" s="54" t="n">
        <f aca="false">ROUND(P9*假设!$B$9,0)</f>
        <v>15607</v>
      </c>
    </row>
    <row r="10" customFormat="false" ht="15" hidden="false" customHeight="true" outlineLevel="0" collapsed="false">
      <c r="A10" s="51" t="s">
        <v>155</v>
      </c>
      <c r="B10" s="52" t="s">
        <v>165</v>
      </c>
      <c r="C10" s="52" t="s">
        <v>160</v>
      </c>
      <c r="D10" s="52" t="s">
        <v>163</v>
      </c>
      <c r="E10" s="10" t="n">
        <v>0.12</v>
      </c>
      <c r="F10" s="10" t="n">
        <v>0.08</v>
      </c>
      <c r="G10" s="53" t="s">
        <v>167</v>
      </c>
      <c r="H10" s="54" t="n">
        <f aca="false">ROUND(通道年单!B5*E10,0)</f>
        <v>396</v>
      </c>
      <c r="I10" s="54" t="n">
        <f aca="false">ROUND(通道年单!C5*E10,0)</f>
        <v>1596</v>
      </c>
      <c r="J10" s="43" t="n">
        <f aca="false">ROUND(通道年单!D5*F10,0)</f>
        <v>1968</v>
      </c>
      <c r="K10" s="54" t="n">
        <f aca="false">ROUND(通道年单!E5*F10,0)</f>
        <v>2680</v>
      </c>
      <c r="L10" s="54" t="n">
        <f aca="false">ROUND(通道年单!F5*F10,0)</f>
        <v>3384</v>
      </c>
      <c r="M10" s="54" t="n">
        <f aca="false">ROUND(通道年单!G5*F10,0)</f>
        <v>4000</v>
      </c>
      <c r="N10" s="54" t="n">
        <f aca="false">ROUND(通道年单!H5*F10,0)</f>
        <v>4640</v>
      </c>
      <c r="O10" s="54" t="n">
        <f aca="false">ROUND(通道年单!I5*F10,0)</f>
        <v>5280</v>
      </c>
      <c r="P10" s="44" t="n">
        <f aca="false">SUM(H10:O10)</f>
        <v>23944</v>
      </c>
      <c r="Q10" s="43" t="n">
        <f aca="false">J10</f>
        <v>1968</v>
      </c>
      <c r="R10" s="54" t="n">
        <f aca="false">ROUND(P10*假设!$B$9,0)</f>
        <v>9099</v>
      </c>
    </row>
    <row r="11" customFormat="false" ht="15" hidden="false" customHeight="true" outlineLevel="0" collapsed="false">
      <c r="A11" s="51" t="s">
        <v>155</v>
      </c>
      <c r="B11" s="52" t="s">
        <v>165</v>
      </c>
      <c r="C11" s="52" t="s">
        <v>168</v>
      </c>
      <c r="D11" s="52" t="s">
        <v>158</v>
      </c>
      <c r="E11" s="10" t="n">
        <v>0.1</v>
      </c>
      <c r="F11" s="10" t="n">
        <v>0.14</v>
      </c>
      <c r="G11" s="53" t="s">
        <v>169</v>
      </c>
      <c r="H11" s="54" t="n">
        <f aca="false">ROUND(通道年单!B5*E11,0)</f>
        <v>330</v>
      </c>
      <c r="I11" s="54" t="n">
        <f aca="false">ROUND(通道年单!C5*E11,0)</f>
        <v>1330</v>
      </c>
      <c r="J11" s="43" t="n">
        <f aca="false">ROUND(通道年单!D5*F11,0)</f>
        <v>3444</v>
      </c>
      <c r="K11" s="54" t="n">
        <f aca="false">ROUND(通道年单!E5*F11,0)</f>
        <v>4690</v>
      </c>
      <c r="L11" s="54" t="n">
        <f aca="false">ROUND(通道年单!F5*F11,0)</f>
        <v>5922</v>
      </c>
      <c r="M11" s="54" t="n">
        <f aca="false">ROUND(通道年单!G5*F11,0)</f>
        <v>7000</v>
      </c>
      <c r="N11" s="54" t="n">
        <f aca="false">ROUND(通道年单!H5*F11,0)</f>
        <v>8120</v>
      </c>
      <c r="O11" s="54" t="n">
        <f aca="false">ROUND(通道年单!I5*F11,0)</f>
        <v>9240</v>
      </c>
      <c r="P11" s="44" t="n">
        <f aca="false">SUM(H11:O11)</f>
        <v>40076</v>
      </c>
      <c r="Q11" s="43" t="n">
        <f aca="false">J11</f>
        <v>3444</v>
      </c>
      <c r="R11" s="54" t="n">
        <f aca="false">ROUND(P11*假设!$B$9,0)</f>
        <v>15229</v>
      </c>
    </row>
    <row r="12" customFormat="false" ht="15" hidden="false" customHeight="true" outlineLevel="0" collapsed="false">
      <c r="A12" s="51" t="s">
        <v>155</v>
      </c>
      <c r="B12" s="52" t="s">
        <v>170</v>
      </c>
      <c r="C12" s="52" t="s">
        <v>160</v>
      </c>
      <c r="D12" s="52" t="s">
        <v>163</v>
      </c>
      <c r="E12" s="10" t="n">
        <v>0.16</v>
      </c>
      <c r="F12" s="10" t="n">
        <v>0.04</v>
      </c>
      <c r="G12" s="53" t="s">
        <v>171</v>
      </c>
      <c r="H12" s="54" t="n">
        <f aca="false">ROUND(通道年单!B5*E12,0)</f>
        <v>528</v>
      </c>
      <c r="I12" s="54" t="n">
        <f aca="false">ROUND(通道年单!C5*E12,0)</f>
        <v>2128</v>
      </c>
      <c r="J12" s="43" t="n">
        <f aca="false">ROUND(通道年单!D5*F12,0)</f>
        <v>984</v>
      </c>
      <c r="K12" s="54" t="n">
        <f aca="false">ROUND(通道年单!E5*F12,0)</f>
        <v>1340</v>
      </c>
      <c r="L12" s="54" t="n">
        <f aca="false">ROUND(通道年单!F5*F12,0)</f>
        <v>1692</v>
      </c>
      <c r="M12" s="54" t="n">
        <f aca="false">ROUND(通道年单!G5*F12,0)</f>
        <v>2000</v>
      </c>
      <c r="N12" s="54" t="n">
        <f aca="false">ROUND(通道年单!H5*F12,0)</f>
        <v>2320</v>
      </c>
      <c r="O12" s="54" t="n">
        <f aca="false">ROUND(通道年单!I5*F12,0)</f>
        <v>2640</v>
      </c>
      <c r="P12" s="44" t="n">
        <f aca="false">SUM(H12:O12)</f>
        <v>13632</v>
      </c>
      <c r="Q12" s="43" t="n">
        <f aca="false">J12</f>
        <v>984</v>
      </c>
      <c r="R12" s="54" t="n">
        <f aca="false">ROUND(P12*假设!$B$9,0)</f>
        <v>5180</v>
      </c>
    </row>
    <row r="13" customFormat="false" ht="15" hidden="false" customHeight="true" outlineLevel="0" collapsed="false">
      <c r="A13" s="51" t="s">
        <v>155</v>
      </c>
      <c r="B13" s="52" t="s">
        <v>170</v>
      </c>
      <c r="C13" s="52" t="s">
        <v>172</v>
      </c>
      <c r="D13" s="52" t="s">
        <v>173</v>
      </c>
      <c r="E13" s="10" t="n">
        <v>0.08</v>
      </c>
      <c r="F13" s="10" t="n">
        <v>0.04</v>
      </c>
      <c r="G13" s="53" t="s">
        <v>174</v>
      </c>
      <c r="H13" s="54" t="n">
        <f aca="false">ROUND(通道年单!B5*E13,0)</f>
        <v>264</v>
      </c>
      <c r="I13" s="54" t="n">
        <f aca="false">ROUND(通道年单!C5*E13,0)</f>
        <v>1064</v>
      </c>
      <c r="J13" s="43" t="n">
        <f aca="false">ROUND(通道年单!D5*F13,0)</f>
        <v>984</v>
      </c>
      <c r="K13" s="54" t="n">
        <f aca="false">ROUND(通道年单!E5*F13,0)</f>
        <v>1340</v>
      </c>
      <c r="L13" s="54" t="n">
        <f aca="false">ROUND(通道年单!F5*F13,0)</f>
        <v>1692</v>
      </c>
      <c r="M13" s="54" t="n">
        <f aca="false">ROUND(通道年单!G5*F13,0)</f>
        <v>2000</v>
      </c>
      <c r="N13" s="54" t="n">
        <f aca="false">ROUND(通道年单!H5*F13,0)</f>
        <v>2320</v>
      </c>
      <c r="O13" s="54" t="n">
        <f aca="false">ROUND(通道年单!I5*F13,0)</f>
        <v>2640</v>
      </c>
      <c r="P13" s="44" t="n">
        <f aca="false">SUM(H13:O13)</f>
        <v>12304</v>
      </c>
      <c r="Q13" s="43" t="n">
        <f aca="false">J13</f>
        <v>984</v>
      </c>
      <c r="R13" s="54" t="n">
        <f aca="false">ROUND(P13*假设!$B$9,0)</f>
        <v>4676</v>
      </c>
    </row>
    <row r="14" customFormat="false" ht="15" hidden="false" customHeight="true" outlineLevel="0" collapsed="false">
      <c r="A14" s="51" t="s">
        <v>155</v>
      </c>
      <c r="B14" s="52" t="s">
        <v>170</v>
      </c>
      <c r="C14" s="52" t="s">
        <v>162</v>
      </c>
      <c r="D14" s="52" t="s">
        <v>163</v>
      </c>
      <c r="E14" s="10" t="n">
        <v>0.06</v>
      </c>
      <c r="F14" s="10" t="n">
        <v>0.03</v>
      </c>
      <c r="G14" s="53" t="s">
        <v>175</v>
      </c>
      <c r="H14" s="54" t="n">
        <f aca="false">ROUND(通道年单!B5*E14,0)</f>
        <v>198</v>
      </c>
      <c r="I14" s="54" t="n">
        <f aca="false">ROUND(通道年单!C5*E14,0)</f>
        <v>798</v>
      </c>
      <c r="J14" s="43" t="n">
        <f aca="false">ROUND(通道年单!D5*F14,0)</f>
        <v>738</v>
      </c>
      <c r="K14" s="54" t="n">
        <f aca="false">ROUND(通道年单!E5*F14,0)</f>
        <v>1005</v>
      </c>
      <c r="L14" s="54" t="n">
        <f aca="false">ROUND(通道年单!F5*F14,0)</f>
        <v>1269</v>
      </c>
      <c r="M14" s="54" t="n">
        <f aca="false">ROUND(通道年单!G5*F14,0)</f>
        <v>1500</v>
      </c>
      <c r="N14" s="54" t="n">
        <f aca="false">ROUND(通道年单!H5*F14,0)</f>
        <v>1740</v>
      </c>
      <c r="O14" s="54" t="n">
        <f aca="false">ROUND(通道年单!I5*F14,0)</f>
        <v>1980</v>
      </c>
      <c r="P14" s="44" t="n">
        <f aca="false">SUM(H14:O14)</f>
        <v>9228</v>
      </c>
      <c r="Q14" s="43" t="n">
        <f aca="false">J14</f>
        <v>738</v>
      </c>
      <c r="R14" s="54" t="n">
        <f aca="false">ROUND(P14*假设!$B$9,0)</f>
        <v>3507</v>
      </c>
    </row>
    <row r="15" customFormat="false" ht="15" hidden="false" customHeight="true" outlineLevel="0" collapsed="false">
      <c r="A15" s="51" t="s">
        <v>155</v>
      </c>
      <c r="B15" s="52" t="s">
        <v>176</v>
      </c>
      <c r="C15" s="52" t="s">
        <v>160</v>
      </c>
      <c r="D15" s="52" t="s">
        <v>177</v>
      </c>
      <c r="E15" s="10" t="n">
        <v>0.12</v>
      </c>
      <c r="F15" s="10" t="n">
        <v>0.1</v>
      </c>
      <c r="G15" s="53" t="s">
        <v>178</v>
      </c>
      <c r="H15" s="54" t="n">
        <f aca="false">ROUND(通道年单!B5*E15,0)</f>
        <v>396</v>
      </c>
      <c r="I15" s="54" t="n">
        <f aca="false">ROUND(通道年单!C5*E15,0)</f>
        <v>1596</v>
      </c>
      <c r="J15" s="43" t="n">
        <f aca="false">ROUND(通道年单!D5*F15,0)</f>
        <v>2460</v>
      </c>
      <c r="K15" s="54" t="n">
        <f aca="false">ROUND(通道年单!E5*F15,0)</f>
        <v>3350</v>
      </c>
      <c r="L15" s="54" t="n">
        <f aca="false">ROUND(通道年单!F5*F15,0)</f>
        <v>4230</v>
      </c>
      <c r="M15" s="54" t="n">
        <f aca="false">ROUND(通道年单!G5*F15,0)</f>
        <v>5000</v>
      </c>
      <c r="N15" s="54" t="n">
        <f aca="false">ROUND(通道年单!H5*F15,0)</f>
        <v>5800</v>
      </c>
      <c r="O15" s="54" t="n">
        <f aca="false">ROUND(通道年单!I5*F15,0)</f>
        <v>6600</v>
      </c>
      <c r="P15" s="44" t="n">
        <f aca="false">SUM(H15:O15)</f>
        <v>29432</v>
      </c>
      <c r="Q15" s="43" t="n">
        <f aca="false">J15</f>
        <v>2460</v>
      </c>
      <c r="R15" s="54" t="n">
        <f aca="false">ROUND(P15*假设!$B$9,0)</f>
        <v>11184</v>
      </c>
    </row>
    <row r="16" customFormat="false" ht="15" hidden="false" customHeight="true" outlineLevel="0" collapsed="false">
      <c r="A16" s="55" t="s">
        <v>179</v>
      </c>
      <c r="B16" s="56" t="s">
        <v>176</v>
      </c>
      <c r="C16" s="56" t="s">
        <v>160</v>
      </c>
      <c r="D16" s="56" t="s">
        <v>180</v>
      </c>
      <c r="E16" s="10" t="n">
        <v>0.18</v>
      </c>
      <c r="F16" s="10" t="n">
        <v>0.14</v>
      </c>
      <c r="G16" s="57" t="s">
        <v>181</v>
      </c>
      <c r="H16" s="58" t="n">
        <f aca="false">ROUND(假设!B23*E16,0)</f>
        <v>90</v>
      </c>
      <c r="I16" s="58" t="n">
        <f aca="false">ROUND(假设!C23*E16,0)</f>
        <v>396</v>
      </c>
      <c r="J16" s="43" t="n">
        <f aca="false">ROUND(假设!D23*F16,0)</f>
        <v>588</v>
      </c>
      <c r="K16" s="58" t="n">
        <f aca="false">ROUND(假设!E23*F16,0)</f>
        <v>896</v>
      </c>
      <c r="L16" s="58" t="n">
        <f aca="false">ROUND(假设!F23*F16,0)</f>
        <v>1204</v>
      </c>
      <c r="M16" s="58" t="n">
        <f aca="false">ROUND(假设!G23*F16,0)</f>
        <v>1428</v>
      </c>
      <c r="N16" s="58" t="n">
        <f aca="false">ROUND(假设!H23*F16,0)</f>
        <v>1652</v>
      </c>
      <c r="O16" s="58" t="n">
        <f aca="false">ROUND(假设!I23*F16,0)</f>
        <v>1876</v>
      </c>
      <c r="P16" s="44" t="n">
        <f aca="false">SUM(H16:O16)</f>
        <v>8130</v>
      </c>
      <c r="Q16" s="43" t="n">
        <f aca="false">J16</f>
        <v>588</v>
      </c>
      <c r="R16" s="58" t="n">
        <f aca="false">P16</f>
        <v>8130</v>
      </c>
    </row>
    <row r="17" customFormat="false" ht="15" hidden="false" customHeight="true" outlineLevel="0" collapsed="false">
      <c r="A17" s="55" t="s">
        <v>179</v>
      </c>
      <c r="B17" s="56" t="s">
        <v>176</v>
      </c>
      <c r="C17" s="56" t="s">
        <v>172</v>
      </c>
      <c r="D17" s="56" t="s">
        <v>173</v>
      </c>
      <c r="E17" s="10" t="n">
        <v>0.12</v>
      </c>
      <c r="F17" s="10" t="n">
        <v>0.08</v>
      </c>
      <c r="G17" s="57" t="s">
        <v>182</v>
      </c>
      <c r="H17" s="58" t="n">
        <f aca="false">ROUND(假设!B23*E17,0)</f>
        <v>60</v>
      </c>
      <c r="I17" s="58" t="n">
        <f aca="false">ROUND(假设!C23*E17,0)</f>
        <v>264</v>
      </c>
      <c r="J17" s="43" t="n">
        <f aca="false">ROUND(假设!D23*F17,0)</f>
        <v>336</v>
      </c>
      <c r="K17" s="58" t="n">
        <f aca="false">ROUND(假设!E23*F17,0)</f>
        <v>512</v>
      </c>
      <c r="L17" s="58" t="n">
        <f aca="false">ROUND(假设!F23*F17,0)</f>
        <v>688</v>
      </c>
      <c r="M17" s="58" t="n">
        <f aca="false">ROUND(假设!G23*F17,0)</f>
        <v>816</v>
      </c>
      <c r="N17" s="58" t="n">
        <f aca="false">ROUND(假设!H23*F17,0)</f>
        <v>944</v>
      </c>
      <c r="O17" s="58" t="n">
        <f aca="false">ROUND(假设!I23*F17,0)</f>
        <v>1072</v>
      </c>
      <c r="P17" s="44" t="n">
        <f aca="false">SUM(H17:O17)</f>
        <v>4692</v>
      </c>
      <c r="Q17" s="43" t="n">
        <f aca="false">J17</f>
        <v>336</v>
      </c>
      <c r="R17" s="58" t="n">
        <f aca="false">P17</f>
        <v>4692</v>
      </c>
    </row>
    <row r="18" customFormat="false" ht="15" hidden="false" customHeight="true" outlineLevel="0" collapsed="false">
      <c r="A18" s="55" t="s">
        <v>179</v>
      </c>
      <c r="B18" s="56" t="s">
        <v>183</v>
      </c>
      <c r="C18" s="56" t="s">
        <v>168</v>
      </c>
      <c r="D18" s="56" t="s">
        <v>177</v>
      </c>
      <c r="E18" s="10" t="n">
        <v>0.18</v>
      </c>
      <c r="F18" s="10" t="n">
        <v>0.26</v>
      </c>
      <c r="G18" s="57" t="s">
        <v>184</v>
      </c>
      <c r="H18" s="58" t="n">
        <f aca="false">ROUND(假设!B23*E18,0)</f>
        <v>90</v>
      </c>
      <c r="I18" s="58" t="n">
        <f aca="false">ROUND(假设!C23*E18,0)</f>
        <v>396</v>
      </c>
      <c r="J18" s="43" t="n">
        <f aca="false">ROUND(假设!D23*F18,0)</f>
        <v>1092</v>
      </c>
      <c r="K18" s="58" t="n">
        <f aca="false">ROUND(假设!E23*F18,0)</f>
        <v>1664</v>
      </c>
      <c r="L18" s="58" t="n">
        <f aca="false">ROUND(假设!F23*F18,0)</f>
        <v>2236</v>
      </c>
      <c r="M18" s="58" t="n">
        <f aca="false">ROUND(假设!G23*F18,0)</f>
        <v>2652</v>
      </c>
      <c r="N18" s="58" t="n">
        <f aca="false">ROUND(假设!H23*F18,0)</f>
        <v>3068</v>
      </c>
      <c r="O18" s="58" t="n">
        <f aca="false">ROUND(假设!I23*F18,0)</f>
        <v>3484</v>
      </c>
      <c r="P18" s="44" t="n">
        <f aca="false">SUM(H18:O18)</f>
        <v>14682</v>
      </c>
      <c r="Q18" s="43" t="n">
        <f aca="false">J18</f>
        <v>1092</v>
      </c>
      <c r="R18" s="58" t="n">
        <f aca="false">P18</f>
        <v>14682</v>
      </c>
    </row>
    <row r="19" customFormat="false" ht="15" hidden="false" customHeight="true" outlineLevel="0" collapsed="false">
      <c r="A19" s="55" t="s">
        <v>179</v>
      </c>
      <c r="B19" s="56" t="s">
        <v>183</v>
      </c>
      <c r="C19" s="56" t="s">
        <v>157</v>
      </c>
      <c r="D19" s="56" t="s">
        <v>177</v>
      </c>
      <c r="E19" s="10" t="n">
        <v>0.14</v>
      </c>
      <c r="F19" s="10" t="n">
        <v>0.22</v>
      </c>
      <c r="G19" s="57" t="s">
        <v>185</v>
      </c>
      <c r="H19" s="58" t="n">
        <f aca="false">ROUND(假设!B23*E19,0)</f>
        <v>70</v>
      </c>
      <c r="I19" s="58" t="n">
        <f aca="false">ROUND(假设!C23*E19,0)</f>
        <v>308</v>
      </c>
      <c r="J19" s="43" t="n">
        <f aca="false">ROUND(假设!D23*F19,0)</f>
        <v>924</v>
      </c>
      <c r="K19" s="58" t="n">
        <f aca="false">ROUND(假设!E23*F19,0)</f>
        <v>1408</v>
      </c>
      <c r="L19" s="58" t="n">
        <f aca="false">ROUND(假设!F23*F19,0)</f>
        <v>1892</v>
      </c>
      <c r="M19" s="58" t="n">
        <f aca="false">ROUND(假设!G23*F19,0)</f>
        <v>2244</v>
      </c>
      <c r="N19" s="58" t="n">
        <f aca="false">ROUND(假设!H23*F19,0)</f>
        <v>2596</v>
      </c>
      <c r="O19" s="58" t="n">
        <f aca="false">ROUND(假设!I23*F19,0)</f>
        <v>2948</v>
      </c>
      <c r="P19" s="44" t="n">
        <f aca="false">SUM(H19:O19)</f>
        <v>12390</v>
      </c>
      <c r="Q19" s="43" t="n">
        <f aca="false">J19</f>
        <v>924</v>
      </c>
      <c r="R19" s="58" t="n">
        <f aca="false">P19</f>
        <v>12390</v>
      </c>
    </row>
    <row r="20" customFormat="false" ht="15" hidden="false" customHeight="true" outlineLevel="0" collapsed="false">
      <c r="A20" s="55" t="s">
        <v>179</v>
      </c>
      <c r="B20" s="56" t="s">
        <v>170</v>
      </c>
      <c r="C20" s="56" t="s">
        <v>162</v>
      </c>
      <c r="D20" s="56" t="s">
        <v>163</v>
      </c>
      <c r="E20" s="10" t="n">
        <v>0.16</v>
      </c>
      <c r="F20" s="10" t="n">
        <v>0.1</v>
      </c>
      <c r="G20" s="57" t="s">
        <v>186</v>
      </c>
      <c r="H20" s="58" t="n">
        <f aca="false">ROUND(假设!B23*E20,0)</f>
        <v>80</v>
      </c>
      <c r="I20" s="58" t="n">
        <f aca="false">ROUND(假设!C23*E20,0)</f>
        <v>352</v>
      </c>
      <c r="J20" s="43" t="n">
        <f aca="false">ROUND(假设!D23*F20,0)</f>
        <v>420</v>
      </c>
      <c r="K20" s="58" t="n">
        <f aca="false">ROUND(假设!E23*F20,0)</f>
        <v>640</v>
      </c>
      <c r="L20" s="58" t="n">
        <f aca="false">ROUND(假设!F23*F20,0)</f>
        <v>860</v>
      </c>
      <c r="M20" s="58" t="n">
        <f aca="false">ROUND(假设!G23*F20,0)</f>
        <v>1020</v>
      </c>
      <c r="N20" s="58" t="n">
        <f aca="false">ROUND(假设!H23*F20,0)</f>
        <v>1180</v>
      </c>
      <c r="O20" s="58" t="n">
        <f aca="false">ROUND(假设!I23*F20,0)</f>
        <v>1340</v>
      </c>
      <c r="P20" s="44" t="n">
        <f aca="false">SUM(H20:O20)</f>
        <v>5892</v>
      </c>
      <c r="Q20" s="43" t="n">
        <f aca="false">J20</f>
        <v>420</v>
      </c>
      <c r="R20" s="58" t="n">
        <f aca="false">P20</f>
        <v>5892</v>
      </c>
    </row>
    <row r="21" customFormat="false" ht="15" hidden="false" customHeight="true" outlineLevel="0" collapsed="false">
      <c r="A21" s="55" t="s">
        <v>179</v>
      </c>
      <c r="B21" s="56" t="s">
        <v>156</v>
      </c>
      <c r="C21" s="56" t="s">
        <v>160</v>
      </c>
      <c r="D21" s="56" t="s">
        <v>158</v>
      </c>
      <c r="E21" s="10" t="n">
        <v>0.22</v>
      </c>
      <c r="F21" s="10" t="n">
        <v>0.2</v>
      </c>
      <c r="G21" s="57" t="s">
        <v>187</v>
      </c>
      <c r="H21" s="58" t="n">
        <f aca="false">ROUND(假设!B23*E21,0)</f>
        <v>110</v>
      </c>
      <c r="I21" s="58" t="n">
        <f aca="false">ROUND(假设!C23*E21,0)</f>
        <v>484</v>
      </c>
      <c r="J21" s="43" t="n">
        <f aca="false">ROUND(假设!D23*F21,0)</f>
        <v>840</v>
      </c>
      <c r="K21" s="58" t="n">
        <f aca="false">ROUND(假设!E23*F21,0)</f>
        <v>1280</v>
      </c>
      <c r="L21" s="58" t="n">
        <f aca="false">ROUND(假设!F23*F21,0)</f>
        <v>1720</v>
      </c>
      <c r="M21" s="58" t="n">
        <f aca="false">ROUND(假设!G23*F21,0)</f>
        <v>2040</v>
      </c>
      <c r="N21" s="58" t="n">
        <f aca="false">ROUND(假设!H23*F21,0)</f>
        <v>2360</v>
      </c>
      <c r="O21" s="58" t="n">
        <f aca="false">ROUND(假设!I23*F21,0)</f>
        <v>2680</v>
      </c>
      <c r="P21" s="44" t="n">
        <f aca="false">SUM(H21:O21)</f>
        <v>11514</v>
      </c>
      <c r="Q21" s="43" t="n">
        <f aca="false">J21</f>
        <v>840</v>
      </c>
      <c r="R21" s="58" t="n">
        <f aca="false">P21</f>
        <v>11514</v>
      </c>
    </row>
    <row r="22" customFormat="false" ht="15" hidden="false" customHeight="true" outlineLevel="0" collapsed="false">
      <c r="A22" s="59" t="s">
        <v>39</v>
      </c>
      <c r="B22" s="59"/>
      <c r="C22" s="59"/>
      <c r="D22" s="59"/>
      <c r="E22" s="60" t="n">
        <f aca="false">SUM(E6:E21)</f>
        <v>2</v>
      </c>
      <c r="F22" s="60" t="n">
        <f aca="false">SUM(F6:F21)</f>
        <v>2</v>
      </c>
      <c r="G22" s="59"/>
      <c r="H22" s="61" t="n">
        <f aca="false">SUM(H6:H21)</f>
        <v>3800</v>
      </c>
      <c r="I22" s="61" t="n">
        <f aca="false">SUM(I6:I21)</f>
        <v>15500</v>
      </c>
      <c r="J22" s="61" t="n">
        <f aca="false">SUM(J6:J21)</f>
        <v>28800</v>
      </c>
      <c r="K22" s="61" t="n">
        <f aca="false">SUM(K6:K21)</f>
        <v>39900</v>
      </c>
      <c r="L22" s="61" t="n">
        <f aca="false">SUM(L6:L21)</f>
        <v>50900</v>
      </c>
      <c r="M22" s="61" t="n">
        <f aca="false">SUM(M6:M21)</f>
        <v>60200</v>
      </c>
      <c r="N22" s="61" t="n">
        <f aca="false">SUM(N6:N21)</f>
        <v>69800</v>
      </c>
      <c r="O22" s="61" t="n">
        <f aca="false">SUM(O6:O21)</f>
        <v>79400</v>
      </c>
      <c r="P22" s="61" t="n">
        <f aca="false">SUM(P6:P21)</f>
        <v>348300</v>
      </c>
      <c r="Q22" s="61" t="n">
        <f aca="false">SUM(Q6:Q21)</f>
        <v>28800</v>
      </c>
      <c r="R22" s="61" t="n">
        <f aca="false">SUM(R6:R21)</f>
        <v>167881</v>
      </c>
    </row>
    <row r="24" customFormat="false" ht="16.5" hidden="false" customHeight="true" outlineLevel="0" collapsed="false">
      <c r="A24" s="4" t="s">
        <v>188</v>
      </c>
    </row>
    <row r="25" customFormat="false" ht="15" hidden="false" customHeight="true" outlineLevel="0" collapsed="false">
      <c r="A25" s="5" t="s">
        <v>147</v>
      </c>
      <c r="B25" s="5" t="s">
        <v>189</v>
      </c>
      <c r="C25" s="5" t="s">
        <v>190</v>
      </c>
      <c r="D25" s="5" t="s">
        <v>191</v>
      </c>
    </row>
    <row r="26" customFormat="false" ht="15" hidden="false" customHeight="true" outlineLevel="0" collapsed="false">
      <c r="A26" s="62" t="s">
        <v>155</v>
      </c>
      <c r="B26" s="24" t="n">
        <f aca="false">SUMIF($A$6:$A$21,"通道",$E$6:$E$21)</f>
        <v>1</v>
      </c>
      <c r="C26" s="24" t="n">
        <f aca="false">SUMIF($A$6:$A$21,"通道",$F$6:$F$21)</f>
        <v>1</v>
      </c>
      <c r="D26" s="63" t="str">
        <f aca="false">IF(AND(ABS(B26-1)&lt;0.001,ABS(C26-1)&lt;0.001),"齐","份额未对齐")</f>
        <v>齐</v>
      </c>
    </row>
    <row r="27" customFormat="false" ht="15" hidden="false" customHeight="true" outlineLevel="0" collapsed="false">
      <c r="A27" s="62" t="s">
        <v>179</v>
      </c>
      <c r="B27" s="24" t="n">
        <f aca="false">SUMIF($A$6:$A$21,"自营",$E$6:$E$21)</f>
        <v>1</v>
      </c>
      <c r="C27" s="24" t="n">
        <f aca="false">SUMIF($A$6:$A$21,"自营",$F$6:$F$21)</f>
        <v>1</v>
      </c>
      <c r="D27" s="63" t="str">
        <f aca="false">IF(AND(ABS(B27-1)&lt;0.001,ABS(C27-1)&lt;0.001),"齐","份额未对齐")</f>
        <v>齐</v>
      </c>
    </row>
    <row r="29" customFormat="false" ht="15" hidden="false" customHeight="true" outlineLevel="0" collapsed="false">
      <c r="A29" s="4" t="s">
        <v>192</v>
      </c>
    </row>
    <row r="30" customFormat="false" ht="15" hidden="false" customHeight="true" outlineLevel="0" collapsed="false">
      <c r="A30" s="5" t="s">
        <v>3</v>
      </c>
      <c r="B30" s="5" t="s">
        <v>31</v>
      </c>
      <c r="C30" s="5" t="s">
        <v>32</v>
      </c>
      <c r="D30" s="5" t="s">
        <v>33</v>
      </c>
      <c r="E30" s="5" t="s">
        <v>34</v>
      </c>
      <c r="F30" s="5" t="s">
        <v>35</v>
      </c>
      <c r="G30" s="5" t="s">
        <v>36</v>
      </c>
      <c r="H30" s="5" t="s">
        <v>37</v>
      </c>
      <c r="I30" s="5" t="s">
        <v>38</v>
      </c>
      <c r="J30" s="32" t="s">
        <v>96</v>
      </c>
    </row>
    <row r="31" customFormat="false" ht="15" hidden="false" customHeight="true" outlineLevel="0" collapsed="false">
      <c r="A31" s="8" t="s">
        <v>193</v>
      </c>
      <c r="B31" s="42" t="n">
        <f aca="false">SUMIF($A$6:$A$21,"通道",H$6:H$21)</f>
        <v>3300</v>
      </c>
      <c r="C31" s="42" t="n">
        <f aca="false">SUMIF($A$6:$A$21,"通道",I$6:I$21)</f>
        <v>13300</v>
      </c>
      <c r="D31" s="42" t="n">
        <f aca="false">SUMIF($A$6:$A$21,"通道",J$6:J$21)</f>
        <v>24600</v>
      </c>
      <c r="E31" s="42" t="n">
        <f aca="false">SUMIF($A$6:$A$21,"通道",K$6:K$21)</f>
        <v>33500</v>
      </c>
      <c r="F31" s="42" t="n">
        <f aca="false">SUMIF($A$6:$A$21,"通道",L$6:L$21)</f>
        <v>42300</v>
      </c>
      <c r="G31" s="42" t="n">
        <f aca="false">SUMIF($A$6:$A$21,"通道",M$6:M$21)</f>
        <v>50000</v>
      </c>
      <c r="H31" s="42" t="n">
        <f aca="false">SUMIF($A$6:$A$21,"通道",N$6:N$21)</f>
        <v>58000</v>
      </c>
      <c r="I31" s="42" t="n">
        <f aca="false">SUMIF($A$6:$A$21,"通道",O$6:O$21)</f>
        <v>66000</v>
      </c>
      <c r="J31" s="42" t="n">
        <f aca="false">SUM(B31:I31)</f>
        <v>291000</v>
      </c>
    </row>
    <row r="32" customFormat="false" ht="15" hidden="false" customHeight="true" outlineLevel="0" collapsed="false">
      <c r="A32" s="8" t="s">
        <v>194</v>
      </c>
      <c r="B32" s="42" t="n">
        <f aca="false">通道年单!B5</f>
        <v>3300</v>
      </c>
      <c r="C32" s="42" t="n">
        <f aca="false">通道年单!C5</f>
        <v>13300</v>
      </c>
      <c r="D32" s="42" t="n">
        <f aca="false">通道年单!D5</f>
        <v>24600</v>
      </c>
      <c r="E32" s="42" t="n">
        <f aca="false">通道年单!E5</f>
        <v>33500</v>
      </c>
      <c r="F32" s="42" t="n">
        <f aca="false">通道年单!F5</f>
        <v>42300</v>
      </c>
      <c r="G32" s="42" t="n">
        <f aca="false">通道年单!G5</f>
        <v>50000</v>
      </c>
      <c r="H32" s="42" t="n">
        <f aca="false">通道年单!H5</f>
        <v>58000</v>
      </c>
      <c r="I32" s="42" t="n">
        <f aca="false">通道年单!I5</f>
        <v>66000</v>
      </c>
      <c r="J32" s="42" t="n">
        <f aca="false">通道年单!J5</f>
        <v>291000</v>
      </c>
    </row>
    <row r="33" customFormat="false" ht="15" hidden="false" customHeight="true" outlineLevel="0" collapsed="false">
      <c r="A33" s="62" t="s">
        <v>195</v>
      </c>
      <c r="B33" s="43" t="n">
        <f aca="false">B31-B32</f>
        <v>0</v>
      </c>
      <c r="C33" s="43" t="n">
        <f aca="false">C31-C32</f>
        <v>0</v>
      </c>
      <c r="D33" s="43" t="n">
        <f aca="false">D31-D32</f>
        <v>0</v>
      </c>
      <c r="E33" s="43" t="n">
        <f aca="false">E31-E32</f>
        <v>0</v>
      </c>
      <c r="F33" s="43" t="n">
        <f aca="false">F31-F32</f>
        <v>0</v>
      </c>
      <c r="G33" s="43" t="n">
        <f aca="false">G31-G32</f>
        <v>0</v>
      </c>
      <c r="H33" s="43" t="n">
        <f aca="false">H31-H32</f>
        <v>0</v>
      </c>
      <c r="I33" s="43" t="n">
        <f aca="false">I31-I32</f>
        <v>0</v>
      </c>
      <c r="J33" s="43" t="n">
        <f aca="false">J31-J32</f>
        <v>0</v>
      </c>
    </row>
    <row r="34" customFormat="false" ht="15" hidden="false" customHeight="true" outlineLevel="0" collapsed="false">
      <c r="A34" s="8" t="s">
        <v>196</v>
      </c>
      <c r="B34" s="42" t="n">
        <f aca="false">SUMIF($A$6:$A$21,"自营",H$6:H$21)</f>
        <v>500</v>
      </c>
      <c r="C34" s="42" t="n">
        <f aca="false">SUMIF($A$6:$A$21,"自营",I$6:I$21)</f>
        <v>2200</v>
      </c>
      <c r="D34" s="42" t="n">
        <f aca="false">SUMIF($A$6:$A$21,"自营",J$6:J$21)</f>
        <v>4200</v>
      </c>
      <c r="E34" s="42" t="n">
        <f aca="false">SUMIF($A$6:$A$21,"自营",K$6:K$21)</f>
        <v>6400</v>
      </c>
      <c r="F34" s="42" t="n">
        <f aca="false">SUMIF($A$6:$A$21,"自营",L$6:L$21)</f>
        <v>8600</v>
      </c>
      <c r="G34" s="42" t="n">
        <f aca="false">SUMIF($A$6:$A$21,"自营",M$6:M$21)</f>
        <v>10200</v>
      </c>
      <c r="H34" s="42" t="n">
        <f aca="false">SUMIF($A$6:$A$21,"自营",N$6:N$21)</f>
        <v>11800</v>
      </c>
      <c r="I34" s="42" t="n">
        <f aca="false">SUMIF($A$6:$A$21,"自营",O$6:O$21)</f>
        <v>13400</v>
      </c>
      <c r="J34" s="42" t="n">
        <f aca="false">SUM(B34:I34)</f>
        <v>57300</v>
      </c>
    </row>
    <row r="35" customFormat="false" ht="15" hidden="false" customHeight="true" outlineLevel="0" collapsed="false">
      <c r="A35" s="8" t="s">
        <v>197</v>
      </c>
      <c r="B35" s="42" t="n">
        <f aca="false">假设!B23</f>
        <v>500</v>
      </c>
      <c r="C35" s="42" t="n">
        <f aca="false">假设!C23</f>
        <v>2200</v>
      </c>
      <c r="D35" s="42" t="n">
        <f aca="false">假设!D23</f>
        <v>4200</v>
      </c>
      <c r="E35" s="42" t="n">
        <f aca="false">假设!E23</f>
        <v>6400</v>
      </c>
      <c r="F35" s="42" t="n">
        <f aca="false">假设!F23</f>
        <v>8600</v>
      </c>
      <c r="G35" s="42" t="n">
        <f aca="false">假设!G23</f>
        <v>10200</v>
      </c>
      <c r="H35" s="42" t="n">
        <f aca="false">假设!H23</f>
        <v>11800</v>
      </c>
      <c r="I35" s="42" t="n">
        <f aca="false">假设!I23</f>
        <v>13400</v>
      </c>
      <c r="J35" s="42" t="n">
        <f aca="false">假设!J23</f>
        <v>57300</v>
      </c>
    </row>
    <row r="36" customFormat="false" ht="15" hidden="false" customHeight="true" outlineLevel="0" collapsed="false">
      <c r="A36" s="62" t="s">
        <v>198</v>
      </c>
      <c r="B36" s="43" t="n">
        <f aca="false">B34-B35</f>
        <v>0</v>
      </c>
      <c r="C36" s="43" t="n">
        <f aca="false">C34-C35</f>
        <v>0</v>
      </c>
      <c r="D36" s="43" t="n">
        <f aca="false">D34-D35</f>
        <v>0</v>
      </c>
      <c r="E36" s="43" t="n">
        <f aca="false">E34-E35</f>
        <v>0</v>
      </c>
      <c r="F36" s="43" t="n">
        <f aca="false">F34-F35</f>
        <v>0</v>
      </c>
      <c r="G36" s="43" t="n">
        <f aca="false">G34-G35</f>
        <v>0</v>
      </c>
      <c r="H36" s="43" t="n">
        <f aca="false">H34-H35</f>
        <v>0</v>
      </c>
      <c r="I36" s="43" t="n">
        <f aca="false">I34-I35</f>
        <v>0</v>
      </c>
      <c r="J36" s="43" t="n">
        <f aca="false">J34-J35</f>
        <v>0</v>
      </c>
    </row>
    <row r="38" customFormat="false" ht="15" hidden="false" customHeight="true" outlineLevel="0" collapsed="false">
      <c r="A38" s="3" t="s">
        <v>199</v>
      </c>
      <c r="B38" s="3"/>
      <c r="C38" s="3"/>
      <c r="D38" s="3"/>
      <c r="E38" s="3"/>
      <c r="F38" s="3"/>
      <c r="G38" s="3"/>
      <c r="H38" s="3"/>
      <c r="I38" s="3"/>
      <c r="J38" s="3"/>
    </row>
  </sheetData>
  <autoFilter ref="A5:R21"/>
  <mergeCells count="3">
    <mergeCell ref="A1:R1"/>
    <mergeCell ref="A2:R3"/>
    <mergeCell ref="A38:J38"/>
  </mergeCells>
  <printOptions headings="false" gridLines="false" gridLinesSet="true" horizontalCentered="false" verticalCentered="false"/>
  <pageMargins left="0.75" right="0.75" top="1" bottom="1" header="0.511811023622047" footer="0.5"/>
  <pageSetup paperSize="8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&amp;L测算数据不构成收益承诺 · 客户为类型口径&amp;R年单明细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E4577"/>
    <pageSetUpPr fitToPage="true"/>
  </sheetPr>
  <dimension ref="A1:K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171875" defaultRowHeight="15" customHeight="false" zeroHeight="false" outlineLevelRow="0" outlineLevelCol="0"/>
  <cols>
    <col collapsed="false" customWidth="true" hidden="false" outlineLevel="0" max="1" min="1" style="1" width="28"/>
    <col collapsed="false" customWidth="true" hidden="false" outlineLevel="0" max="9" min="2" style="1" width="12"/>
    <col collapsed="false" customWidth="true" hidden="false" outlineLevel="0" max="10" min="10" style="1" width="13"/>
    <col collapsed="false" customWidth="true" hidden="false" outlineLevel="0" max="11" min="11" style="1" width="12"/>
  </cols>
  <sheetData>
    <row r="1" customFormat="false" ht="21" hidden="false" customHeight="true" outlineLevel="0" collapsed="false">
      <c r="A1" s="2" t="s">
        <v>200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customFormat="false" ht="13.5" hidden="false" customHeight="true" outlineLevel="0" collapsed="false">
      <c r="A2" s="3" t="s">
        <v>201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customFormat="false" ht="15" hidden="false" customHeight="true" outlineLevel="0" collapsed="false">
      <c r="A4" s="4" t="s">
        <v>202</v>
      </c>
    </row>
    <row r="5" customFormat="false" ht="15" hidden="false" customHeight="true" outlineLevel="0" collapsed="false">
      <c r="A5" s="5" t="s">
        <v>148</v>
      </c>
      <c r="B5" s="5" t="s">
        <v>31</v>
      </c>
      <c r="C5" s="5" t="s">
        <v>32</v>
      </c>
      <c r="D5" s="5" t="s">
        <v>33</v>
      </c>
      <c r="E5" s="5" t="s">
        <v>34</v>
      </c>
      <c r="F5" s="5" t="s">
        <v>35</v>
      </c>
      <c r="G5" s="5" t="s">
        <v>36</v>
      </c>
      <c r="H5" s="5" t="s">
        <v>37</v>
      </c>
      <c r="I5" s="5" t="s">
        <v>38</v>
      </c>
      <c r="J5" s="32" t="s">
        <v>96</v>
      </c>
      <c r="K5" s="5" t="s">
        <v>203</v>
      </c>
    </row>
    <row r="6" customFormat="false" ht="15" hidden="false" customHeight="true" outlineLevel="0" collapsed="false">
      <c r="A6" s="52" t="s">
        <v>156</v>
      </c>
      <c r="B6" s="42" t="n">
        <f aca="false">SUMIFS(年单明细!H$6:H$21,年单明细!$A$6:$A$21,"通道",年单明细!$B$6:$B$21,A6)</f>
        <v>660</v>
      </c>
      <c r="C6" s="42" t="n">
        <f aca="false">SUMIFS(年单明细!I$6:I$21,年单明细!$A$6:$A$21,"通道",年单明细!$B$6:$B$21,A6)</f>
        <v>2660</v>
      </c>
      <c r="D6" s="43" t="n">
        <f aca="false">SUMIFS(年单明细!J$6:J$21,年单明细!$A$6:$A$21,"通道",年单明细!$B$6:$B$21,A6)</f>
        <v>10578</v>
      </c>
      <c r="E6" s="42" t="n">
        <f aca="false">SUMIFS(年单明细!K$6:K$21,年单明细!$A$6:$A$21,"通道",年单明细!$B$6:$B$21,A6)</f>
        <v>14405</v>
      </c>
      <c r="F6" s="42" t="n">
        <f aca="false">SUMIFS(年单明细!L$6:L$21,年单明细!$A$6:$A$21,"通道",年单明细!$B$6:$B$21,A6)</f>
        <v>18189</v>
      </c>
      <c r="G6" s="42" t="n">
        <f aca="false">SUMIFS(年单明细!M$6:M$21,年单明细!$A$6:$A$21,"通道",年单明细!$B$6:$B$21,A6)</f>
        <v>21500</v>
      </c>
      <c r="H6" s="42" t="n">
        <f aca="false">SUMIFS(年单明细!N$6:N$21,年单明细!$A$6:$A$21,"通道",年单明细!$B$6:$B$21,A6)</f>
        <v>24940</v>
      </c>
      <c r="I6" s="42" t="n">
        <f aca="false">SUMIFS(年单明细!O$6:O$21,年单明细!$A$6:$A$21,"通道",年单明细!$B$6:$B$21,A6)</f>
        <v>28380</v>
      </c>
      <c r="J6" s="44" t="n">
        <f aca="false">SUM(B6:I6)</f>
        <v>121312</v>
      </c>
      <c r="K6" s="24" t="n">
        <f aca="false">IF(D11=0,0,D6/D11)</f>
        <v>0.43</v>
      </c>
    </row>
    <row r="7" customFormat="false" ht="15" hidden="false" customHeight="true" outlineLevel="0" collapsed="false">
      <c r="A7" s="52" t="s">
        <v>165</v>
      </c>
      <c r="B7" s="42" t="n">
        <f aca="false">SUMIFS(年单明细!H$6:H$21,年单明细!$A$6:$A$21,"通道",年单明细!$B$6:$B$21,A7)</f>
        <v>1254</v>
      </c>
      <c r="C7" s="42" t="n">
        <f aca="false">SUMIFS(年单明细!I$6:I$21,年单明细!$A$6:$A$21,"通道",年单明细!$B$6:$B$21,A7)</f>
        <v>5054</v>
      </c>
      <c r="D7" s="43" t="n">
        <f aca="false">SUMIFS(年单明细!J$6:J$21,年单明细!$A$6:$A$21,"通道",年单明细!$B$6:$B$21,A7)</f>
        <v>8856</v>
      </c>
      <c r="E7" s="42" t="n">
        <f aca="false">SUMIFS(年单明细!K$6:K$21,年单明细!$A$6:$A$21,"通道",年单明细!$B$6:$B$21,A7)</f>
        <v>12060</v>
      </c>
      <c r="F7" s="42" t="n">
        <f aca="false">SUMIFS(年单明细!L$6:L$21,年单明细!$A$6:$A$21,"通道",年单明细!$B$6:$B$21,A7)</f>
        <v>15228</v>
      </c>
      <c r="G7" s="42" t="n">
        <f aca="false">SUMIFS(年单明细!M$6:M$21,年单明细!$A$6:$A$21,"通道",年单明细!$B$6:$B$21,A7)</f>
        <v>18000</v>
      </c>
      <c r="H7" s="42" t="n">
        <f aca="false">SUMIFS(年单明细!N$6:N$21,年单明细!$A$6:$A$21,"通道",年单明细!$B$6:$B$21,A7)</f>
        <v>20880</v>
      </c>
      <c r="I7" s="42" t="n">
        <f aca="false">SUMIFS(年单明细!O$6:O$21,年单明细!$A$6:$A$21,"通道",年单明细!$B$6:$B$21,A7)</f>
        <v>23760</v>
      </c>
      <c r="J7" s="44" t="n">
        <f aca="false">SUM(B7:I7)</f>
        <v>105092</v>
      </c>
      <c r="K7" s="24" t="n">
        <f aca="false">IF(D11=0,0,D7/D11)</f>
        <v>0.36</v>
      </c>
    </row>
    <row r="8" customFormat="false" ht="15" hidden="false" customHeight="true" outlineLevel="0" collapsed="false">
      <c r="A8" s="52" t="s">
        <v>170</v>
      </c>
      <c r="B8" s="42" t="n">
        <f aca="false">SUMIFS(年单明细!H$6:H$21,年单明细!$A$6:$A$21,"通道",年单明细!$B$6:$B$21,A8)</f>
        <v>990</v>
      </c>
      <c r="C8" s="42" t="n">
        <f aca="false">SUMIFS(年单明细!I$6:I$21,年单明细!$A$6:$A$21,"通道",年单明细!$B$6:$B$21,A8)</f>
        <v>3990</v>
      </c>
      <c r="D8" s="43" t="n">
        <f aca="false">SUMIFS(年单明细!J$6:J$21,年单明细!$A$6:$A$21,"通道",年单明细!$B$6:$B$21,A8)</f>
        <v>2706</v>
      </c>
      <c r="E8" s="42" t="n">
        <f aca="false">SUMIFS(年单明细!K$6:K$21,年单明细!$A$6:$A$21,"通道",年单明细!$B$6:$B$21,A8)</f>
        <v>3685</v>
      </c>
      <c r="F8" s="42" t="n">
        <f aca="false">SUMIFS(年单明细!L$6:L$21,年单明细!$A$6:$A$21,"通道",年单明细!$B$6:$B$21,A8)</f>
        <v>4653</v>
      </c>
      <c r="G8" s="42" t="n">
        <f aca="false">SUMIFS(年单明细!M$6:M$21,年单明细!$A$6:$A$21,"通道",年单明细!$B$6:$B$21,A8)</f>
        <v>5500</v>
      </c>
      <c r="H8" s="42" t="n">
        <f aca="false">SUMIFS(年单明细!N$6:N$21,年单明细!$A$6:$A$21,"通道",年单明细!$B$6:$B$21,A8)</f>
        <v>6380</v>
      </c>
      <c r="I8" s="42" t="n">
        <f aca="false">SUMIFS(年单明细!O$6:O$21,年单明细!$A$6:$A$21,"通道",年单明细!$B$6:$B$21,A8)</f>
        <v>7260</v>
      </c>
      <c r="J8" s="44" t="n">
        <f aca="false">SUM(B8:I8)</f>
        <v>35164</v>
      </c>
      <c r="K8" s="24" t="n">
        <f aca="false">IF(D11=0,0,D8/D11)</f>
        <v>0.11</v>
      </c>
    </row>
    <row r="9" customFormat="false" ht="15" hidden="false" customHeight="true" outlineLevel="0" collapsed="false">
      <c r="A9" s="52" t="s">
        <v>176</v>
      </c>
      <c r="B9" s="42" t="n">
        <f aca="false">SUMIFS(年单明细!H$6:H$21,年单明细!$A$6:$A$21,"通道",年单明细!$B$6:$B$21,A9)</f>
        <v>396</v>
      </c>
      <c r="C9" s="42" t="n">
        <f aca="false">SUMIFS(年单明细!I$6:I$21,年单明细!$A$6:$A$21,"通道",年单明细!$B$6:$B$21,A9)</f>
        <v>1596</v>
      </c>
      <c r="D9" s="43" t="n">
        <f aca="false">SUMIFS(年单明细!J$6:J$21,年单明细!$A$6:$A$21,"通道",年单明细!$B$6:$B$21,A9)</f>
        <v>2460</v>
      </c>
      <c r="E9" s="42" t="n">
        <f aca="false">SUMIFS(年单明细!K$6:K$21,年单明细!$A$6:$A$21,"通道",年单明细!$B$6:$B$21,A9)</f>
        <v>3350</v>
      </c>
      <c r="F9" s="42" t="n">
        <f aca="false">SUMIFS(年单明细!L$6:L$21,年单明细!$A$6:$A$21,"通道",年单明细!$B$6:$B$21,A9)</f>
        <v>4230</v>
      </c>
      <c r="G9" s="42" t="n">
        <f aca="false">SUMIFS(年单明细!M$6:M$21,年单明细!$A$6:$A$21,"通道",年单明细!$B$6:$B$21,A9)</f>
        <v>5000</v>
      </c>
      <c r="H9" s="42" t="n">
        <f aca="false">SUMIFS(年单明细!N$6:N$21,年单明细!$A$6:$A$21,"通道",年单明细!$B$6:$B$21,A9)</f>
        <v>5800</v>
      </c>
      <c r="I9" s="42" t="n">
        <f aca="false">SUMIFS(年单明细!O$6:O$21,年单明细!$A$6:$A$21,"通道",年单明细!$B$6:$B$21,A9)</f>
        <v>6600</v>
      </c>
      <c r="J9" s="44" t="n">
        <f aca="false">SUM(B9:I9)</f>
        <v>29432</v>
      </c>
      <c r="K9" s="24" t="n">
        <f aca="false">IF(D11=0,0,D9/D11)</f>
        <v>0.1</v>
      </c>
    </row>
    <row r="10" customFormat="false" ht="15" hidden="false" customHeight="true" outlineLevel="0" collapsed="false">
      <c r="A10" s="52" t="s">
        <v>183</v>
      </c>
      <c r="B10" s="42" t="n">
        <f aca="false">SUMIFS(年单明细!H$6:H$21,年单明细!$A$6:$A$21,"通道",年单明细!$B$6:$B$21,A10)</f>
        <v>0</v>
      </c>
      <c r="C10" s="42" t="n">
        <f aca="false">SUMIFS(年单明细!I$6:I$21,年单明细!$A$6:$A$21,"通道",年单明细!$B$6:$B$21,A10)</f>
        <v>0</v>
      </c>
      <c r="D10" s="43" t="n">
        <f aca="false">SUMIFS(年单明细!J$6:J$21,年单明细!$A$6:$A$21,"通道",年单明细!$B$6:$B$21,A10)</f>
        <v>0</v>
      </c>
      <c r="E10" s="42" t="n">
        <f aca="false">SUMIFS(年单明细!K$6:K$21,年单明细!$A$6:$A$21,"通道",年单明细!$B$6:$B$21,A10)</f>
        <v>0</v>
      </c>
      <c r="F10" s="42" t="n">
        <f aca="false">SUMIFS(年单明细!L$6:L$21,年单明细!$A$6:$A$21,"通道",年单明细!$B$6:$B$21,A10)</f>
        <v>0</v>
      </c>
      <c r="G10" s="42" t="n">
        <f aca="false">SUMIFS(年单明细!M$6:M$21,年单明细!$A$6:$A$21,"通道",年单明细!$B$6:$B$21,A10)</f>
        <v>0</v>
      </c>
      <c r="H10" s="42" t="n">
        <f aca="false">SUMIFS(年单明细!N$6:N$21,年单明细!$A$6:$A$21,"通道",年单明细!$B$6:$B$21,A10)</f>
        <v>0</v>
      </c>
      <c r="I10" s="42" t="n">
        <f aca="false">SUMIFS(年单明细!O$6:O$21,年单明细!$A$6:$A$21,"通道",年单明细!$B$6:$B$21,A10)</f>
        <v>0</v>
      </c>
      <c r="J10" s="44" t="n">
        <f aca="false">SUM(B10:I10)</f>
        <v>0</v>
      </c>
      <c r="K10" s="24" t="n">
        <f aca="false">IF(D11=0,0,D10/D11)</f>
        <v>0</v>
      </c>
    </row>
    <row r="11" customFormat="false" ht="15" hidden="false" customHeight="true" outlineLevel="0" collapsed="false">
      <c r="A11" s="59" t="s">
        <v>204</v>
      </c>
      <c r="B11" s="15" t="n">
        <f aca="false">SUM(B6:B10)</f>
        <v>3300</v>
      </c>
      <c r="C11" s="15" t="n">
        <f aca="false">SUM(C6:C10)</f>
        <v>13300</v>
      </c>
      <c r="D11" s="15" t="n">
        <f aca="false">SUM(D6:D10)</f>
        <v>24600</v>
      </c>
      <c r="E11" s="15" t="n">
        <f aca="false">SUM(E6:E10)</f>
        <v>33500</v>
      </c>
      <c r="F11" s="15" t="n">
        <f aca="false">SUM(F6:F10)</f>
        <v>42300</v>
      </c>
      <c r="G11" s="15" t="n">
        <f aca="false">SUM(G6:G10)</f>
        <v>50000</v>
      </c>
      <c r="H11" s="15" t="n">
        <f aca="false">SUM(H6:H10)</f>
        <v>58000</v>
      </c>
      <c r="I11" s="15" t="n">
        <f aca="false">SUM(I6:I10)</f>
        <v>66000</v>
      </c>
      <c r="J11" s="15" t="n">
        <f aca="false">SUM(J6:J10)</f>
        <v>291000</v>
      </c>
      <c r="K11" s="64" t="n">
        <f aca="false">IF(D11=0,0,D11/D11)</f>
        <v>1</v>
      </c>
    </row>
    <row r="14" customFormat="false" ht="15" hidden="false" customHeight="true" outlineLevel="0" collapsed="false">
      <c r="A14" s="4" t="s">
        <v>205</v>
      </c>
    </row>
    <row r="15" customFormat="false" ht="15" hidden="false" customHeight="true" outlineLevel="0" collapsed="false">
      <c r="A15" s="5" t="s">
        <v>148</v>
      </c>
      <c r="B15" s="5" t="s">
        <v>31</v>
      </c>
      <c r="C15" s="5" t="s">
        <v>32</v>
      </c>
      <c r="D15" s="5" t="s">
        <v>33</v>
      </c>
      <c r="E15" s="5" t="s">
        <v>34</v>
      </c>
      <c r="F15" s="5" t="s">
        <v>35</v>
      </c>
      <c r="G15" s="5" t="s">
        <v>36</v>
      </c>
      <c r="H15" s="5" t="s">
        <v>37</v>
      </c>
      <c r="I15" s="5" t="s">
        <v>38</v>
      </c>
      <c r="J15" s="32" t="s">
        <v>96</v>
      </c>
      <c r="K15" s="5" t="s">
        <v>203</v>
      </c>
    </row>
    <row r="16" customFormat="false" ht="15" hidden="false" customHeight="true" outlineLevel="0" collapsed="false">
      <c r="A16" s="56" t="s">
        <v>156</v>
      </c>
      <c r="B16" s="42" t="n">
        <f aca="false">SUMIFS(年单明细!H$6:H$21,年单明细!$A$6:$A$21,"自营",年单明细!$B$6:$B$21,A16)</f>
        <v>110</v>
      </c>
      <c r="C16" s="42" t="n">
        <f aca="false">SUMIFS(年单明细!I$6:I$21,年单明细!$A$6:$A$21,"自营",年单明细!$B$6:$B$21,A16)</f>
        <v>484</v>
      </c>
      <c r="D16" s="43" t="n">
        <f aca="false">SUMIFS(年单明细!J$6:J$21,年单明细!$A$6:$A$21,"自营",年单明细!$B$6:$B$21,A16)</f>
        <v>840</v>
      </c>
      <c r="E16" s="42" t="n">
        <f aca="false">SUMIFS(年单明细!K$6:K$21,年单明细!$A$6:$A$21,"自营",年单明细!$B$6:$B$21,A16)</f>
        <v>1280</v>
      </c>
      <c r="F16" s="42" t="n">
        <f aca="false">SUMIFS(年单明细!L$6:L$21,年单明细!$A$6:$A$21,"自营",年单明细!$B$6:$B$21,A16)</f>
        <v>1720</v>
      </c>
      <c r="G16" s="42" t="n">
        <f aca="false">SUMIFS(年单明细!M$6:M$21,年单明细!$A$6:$A$21,"自营",年单明细!$B$6:$B$21,A16)</f>
        <v>2040</v>
      </c>
      <c r="H16" s="42" t="n">
        <f aca="false">SUMIFS(年单明细!N$6:N$21,年单明细!$A$6:$A$21,"自营",年单明细!$B$6:$B$21,A16)</f>
        <v>2360</v>
      </c>
      <c r="I16" s="42" t="n">
        <f aca="false">SUMIFS(年单明细!O$6:O$21,年单明细!$A$6:$A$21,"自营",年单明细!$B$6:$B$21,A16)</f>
        <v>2680</v>
      </c>
      <c r="J16" s="44" t="n">
        <f aca="false">SUM(B16:I16)</f>
        <v>11514</v>
      </c>
      <c r="K16" s="24" t="n">
        <f aca="false">IF(D21=0,0,D16/D21)</f>
        <v>0.2</v>
      </c>
    </row>
    <row r="17" customFormat="false" ht="15" hidden="false" customHeight="true" outlineLevel="0" collapsed="false">
      <c r="A17" s="56" t="s">
        <v>165</v>
      </c>
      <c r="B17" s="42" t="n">
        <f aca="false">SUMIFS(年单明细!H$6:H$21,年单明细!$A$6:$A$21,"自营",年单明细!$B$6:$B$21,A17)</f>
        <v>0</v>
      </c>
      <c r="C17" s="42" t="n">
        <f aca="false">SUMIFS(年单明细!I$6:I$21,年单明细!$A$6:$A$21,"自营",年单明细!$B$6:$B$21,A17)</f>
        <v>0</v>
      </c>
      <c r="D17" s="43" t="n">
        <f aca="false">SUMIFS(年单明细!J$6:J$21,年单明细!$A$6:$A$21,"自营",年单明细!$B$6:$B$21,A17)</f>
        <v>0</v>
      </c>
      <c r="E17" s="42" t="n">
        <f aca="false">SUMIFS(年单明细!K$6:K$21,年单明细!$A$6:$A$21,"自营",年单明细!$B$6:$B$21,A17)</f>
        <v>0</v>
      </c>
      <c r="F17" s="42" t="n">
        <f aca="false">SUMIFS(年单明细!L$6:L$21,年单明细!$A$6:$A$21,"自营",年单明细!$B$6:$B$21,A17)</f>
        <v>0</v>
      </c>
      <c r="G17" s="42" t="n">
        <f aca="false">SUMIFS(年单明细!M$6:M$21,年单明细!$A$6:$A$21,"自营",年单明细!$B$6:$B$21,A17)</f>
        <v>0</v>
      </c>
      <c r="H17" s="42" t="n">
        <f aca="false">SUMIFS(年单明细!N$6:N$21,年单明细!$A$6:$A$21,"自营",年单明细!$B$6:$B$21,A17)</f>
        <v>0</v>
      </c>
      <c r="I17" s="42" t="n">
        <f aca="false">SUMIFS(年单明细!O$6:O$21,年单明细!$A$6:$A$21,"自营",年单明细!$B$6:$B$21,A17)</f>
        <v>0</v>
      </c>
      <c r="J17" s="44" t="n">
        <f aca="false">SUM(B17:I17)</f>
        <v>0</v>
      </c>
      <c r="K17" s="24" t="n">
        <f aca="false">IF(D21=0,0,D17/D21)</f>
        <v>0</v>
      </c>
    </row>
    <row r="18" customFormat="false" ht="15" hidden="false" customHeight="true" outlineLevel="0" collapsed="false">
      <c r="A18" s="56" t="s">
        <v>170</v>
      </c>
      <c r="B18" s="42" t="n">
        <f aca="false">SUMIFS(年单明细!H$6:H$21,年单明细!$A$6:$A$21,"自营",年单明细!$B$6:$B$21,A18)</f>
        <v>80</v>
      </c>
      <c r="C18" s="42" t="n">
        <f aca="false">SUMIFS(年单明细!I$6:I$21,年单明细!$A$6:$A$21,"自营",年单明细!$B$6:$B$21,A18)</f>
        <v>352</v>
      </c>
      <c r="D18" s="43" t="n">
        <f aca="false">SUMIFS(年单明细!J$6:J$21,年单明细!$A$6:$A$21,"自营",年单明细!$B$6:$B$21,A18)</f>
        <v>420</v>
      </c>
      <c r="E18" s="42" t="n">
        <f aca="false">SUMIFS(年单明细!K$6:K$21,年单明细!$A$6:$A$21,"自营",年单明细!$B$6:$B$21,A18)</f>
        <v>640</v>
      </c>
      <c r="F18" s="42" t="n">
        <f aca="false">SUMIFS(年单明细!L$6:L$21,年单明细!$A$6:$A$21,"自营",年单明细!$B$6:$B$21,A18)</f>
        <v>860</v>
      </c>
      <c r="G18" s="42" t="n">
        <f aca="false">SUMIFS(年单明细!M$6:M$21,年单明细!$A$6:$A$21,"自营",年单明细!$B$6:$B$21,A18)</f>
        <v>1020</v>
      </c>
      <c r="H18" s="42" t="n">
        <f aca="false">SUMIFS(年单明细!N$6:N$21,年单明细!$A$6:$A$21,"自营",年单明细!$B$6:$B$21,A18)</f>
        <v>1180</v>
      </c>
      <c r="I18" s="42" t="n">
        <f aca="false">SUMIFS(年单明细!O$6:O$21,年单明细!$A$6:$A$21,"自营",年单明细!$B$6:$B$21,A18)</f>
        <v>1340</v>
      </c>
      <c r="J18" s="44" t="n">
        <f aca="false">SUM(B18:I18)</f>
        <v>5892</v>
      </c>
      <c r="K18" s="24" t="n">
        <f aca="false">IF(D21=0,0,D18/D21)</f>
        <v>0.1</v>
      </c>
    </row>
    <row r="19" customFormat="false" ht="15" hidden="false" customHeight="true" outlineLevel="0" collapsed="false">
      <c r="A19" s="56" t="s">
        <v>176</v>
      </c>
      <c r="B19" s="42" t="n">
        <f aca="false">SUMIFS(年单明细!H$6:H$21,年单明细!$A$6:$A$21,"自营",年单明细!$B$6:$B$21,A19)</f>
        <v>150</v>
      </c>
      <c r="C19" s="42" t="n">
        <f aca="false">SUMIFS(年单明细!I$6:I$21,年单明细!$A$6:$A$21,"自营",年单明细!$B$6:$B$21,A19)</f>
        <v>660</v>
      </c>
      <c r="D19" s="43" t="n">
        <f aca="false">SUMIFS(年单明细!J$6:J$21,年单明细!$A$6:$A$21,"自营",年单明细!$B$6:$B$21,A19)</f>
        <v>924</v>
      </c>
      <c r="E19" s="42" t="n">
        <f aca="false">SUMIFS(年单明细!K$6:K$21,年单明细!$A$6:$A$21,"自营",年单明细!$B$6:$B$21,A19)</f>
        <v>1408</v>
      </c>
      <c r="F19" s="42" t="n">
        <f aca="false">SUMIFS(年单明细!L$6:L$21,年单明细!$A$6:$A$21,"自营",年单明细!$B$6:$B$21,A19)</f>
        <v>1892</v>
      </c>
      <c r="G19" s="42" t="n">
        <f aca="false">SUMIFS(年单明细!M$6:M$21,年单明细!$A$6:$A$21,"自营",年单明细!$B$6:$B$21,A19)</f>
        <v>2244</v>
      </c>
      <c r="H19" s="42" t="n">
        <f aca="false">SUMIFS(年单明细!N$6:N$21,年单明细!$A$6:$A$21,"自营",年单明细!$B$6:$B$21,A19)</f>
        <v>2596</v>
      </c>
      <c r="I19" s="42" t="n">
        <f aca="false">SUMIFS(年单明细!O$6:O$21,年单明细!$A$6:$A$21,"自营",年单明细!$B$6:$B$21,A19)</f>
        <v>2948</v>
      </c>
      <c r="J19" s="44" t="n">
        <f aca="false">SUM(B19:I19)</f>
        <v>12822</v>
      </c>
      <c r="K19" s="24" t="n">
        <f aca="false">IF(D21=0,0,D19/D21)</f>
        <v>0.22</v>
      </c>
    </row>
    <row r="20" customFormat="false" ht="15" hidden="false" customHeight="true" outlineLevel="0" collapsed="false">
      <c r="A20" s="56" t="s">
        <v>183</v>
      </c>
      <c r="B20" s="42" t="n">
        <f aca="false">SUMIFS(年单明细!H$6:H$21,年单明细!$A$6:$A$21,"自营",年单明细!$B$6:$B$21,A20)</f>
        <v>160</v>
      </c>
      <c r="C20" s="42" t="n">
        <f aca="false">SUMIFS(年单明细!I$6:I$21,年单明细!$A$6:$A$21,"自营",年单明细!$B$6:$B$21,A20)</f>
        <v>704</v>
      </c>
      <c r="D20" s="43" t="n">
        <f aca="false">SUMIFS(年单明细!J$6:J$21,年单明细!$A$6:$A$21,"自营",年单明细!$B$6:$B$21,A20)</f>
        <v>2016</v>
      </c>
      <c r="E20" s="42" t="n">
        <f aca="false">SUMIFS(年单明细!K$6:K$21,年单明细!$A$6:$A$21,"自营",年单明细!$B$6:$B$21,A20)</f>
        <v>3072</v>
      </c>
      <c r="F20" s="42" t="n">
        <f aca="false">SUMIFS(年单明细!L$6:L$21,年单明细!$A$6:$A$21,"自营",年单明细!$B$6:$B$21,A20)</f>
        <v>4128</v>
      </c>
      <c r="G20" s="42" t="n">
        <f aca="false">SUMIFS(年单明细!M$6:M$21,年单明细!$A$6:$A$21,"自营",年单明细!$B$6:$B$21,A20)</f>
        <v>4896</v>
      </c>
      <c r="H20" s="42" t="n">
        <f aca="false">SUMIFS(年单明细!N$6:N$21,年单明细!$A$6:$A$21,"自营",年单明细!$B$6:$B$21,A20)</f>
        <v>5664</v>
      </c>
      <c r="I20" s="42" t="n">
        <f aca="false">SUMIFS(年单明细!O$6:O$21,年单明细!$A$6:$A$21,"自营",年单明细!$B$6:$B$21,A20)</f>
        <v>6432</v>
      </c>
      <c r="J20" s="44" t="n">
        <f aca="false">SUM(B20:I20)</f>
        <v>27072</v>
      </c>
      <c r="K20" s="24" t="n">
        <f aca="false">IF(D21=0,0,D20/D21)</f>
        <v>0.48</v>
      </c>
    </row>
    <row r="21" customFormat="false" ht="15" hidden="false" customHeight="true" outlineLevel="0" collapsed="false">
      <c r="A21" s="59" t="s">
        <v>204</v>
      </c>
      <c r="B21" s="15" t="n">
        <f aca="false">SUM(B16:B20)</f>
        <v>500</v>
      </c>
      <c r="C21" s="15" t="n">
        <f aca="false">SUM(C16:C20)</f>
        <v>2200</v>
      </c>
      <c r="D21" s="15" t="n">
        <f aca="false">SUM(D16:D20)</f>
        <v>4200</v>
      </c>
      <c r="E21" s="15" t="n">
        <f aca="false">SUM(E16:E20)</f>
        <v>6400</v>
      </c>
      <c r="F21" s="15" t="n">
        <f aca="false">SUM(F16:F20)</f>
        <v>8600</v>
      </c>
      <c r="G21" s="15" t="n">
        <f aca="false">SUM(G16:G20)</f>
        <v>10200</v>
      </c>
      <c r="H21" s="15" t="n">
        <f aca="false">SUM(H16:H20)</f>
        <v>11800</v>
      </c>
      <c r="I21" s="15" t="n">
        <f aca="false">SUM(I16:I20)</f>
        <v>13400</v>
      </c>
      <c r="J21" s="15" t="n">
        <f aca="false">SUM(J16:J20)</f>
        <v>57300</v>
      </c>
      <c r="K21" s="64" t="n">
        <f aca="false">IF(D21=0,0,D21/D21)</f>
        <v>1</v>
      </c>
    </row>
    <row r="24" customFormat="false" ht="16.5" hidden="false" customHeight="true" outlineLevel="0" collapsed="false">
      <c r="A24" s="4" t="s">
        <v>206</v>
      </c>
    </row>
    <row r="25" customFormat="false" ht="15" hidden="false" customHeight="true" outlineLevel="0" collapsed="false">
      <c r="A25" s="5" t="s">
        <v>148</v>
      </c>
      <c r="B25" s="5" t="s">
        <v>31</v>
      </c>
      <c r="C25" s="5" t="s">
        <v>32</v>
      </c>
      <c r="D25" s="5" t="s">
        <v>33</v>
      </c>
      <c r="E25" s="5" t="s">
        <v>34</v>
      </c>
      <c r="F25" s="5" t="s">
        <v>35</v>
      </c>
      <c r="G25" s="5" t="s">
        <v>36</v>
      </c>
      <c r="H25" s="5" t="s">
        <v>37</v>
      </c>
      <c r="I25" s="5" t="s">
        <v>38</v>
      </c>
      <c r="J25" s="32" t="s">
        <v>96</v>
      </c>
      <c r="K25" s="5" t="s">
        <v>203</v>
      </c>
    </row>
    <row r="26" customFormat="false" ht="15" hidden="false" customHeight="true" outlineLevel="0" collapsed="false">
      <c r="A26" s="8" t="s">
        <v>156</v>
      </c>
      <c r="B26" s="65" t="n">
        <f aca="false">B6+B16</f>
        <v>770</v>
      </c>
      <c r="C26" s="65" t="n">
        <f aca="false">C6+C16</f>
        <v>3144</v>
      </c>
      <c r="D26" s="66" t="n">
        <f aca="false">D6+D16</f>
        <v>11418</v>
      </c>
      <c r="E26" s="65" t="n">
        <f aca="false">E6+E16</f>
        <v>15685</v>
      </c>
      <c r="F26" s="65" t="n">
        <f aca="false">F6+F16</f>
        <v>19909</v>
      </c>
      <c r="G26" s="65" t="n">
        <f aca="false">G6+G16</f>
        <v>23540</v>
      </c>
      <c r="H26" s="65" t="n">
        <f aca="false">H6+H16</f>
        <v>27300</v>
      </c>
      <c r="I26" s="65" t="n">
        <f aca="false">I6+I16</f>
        <v>31060</v>
      </c>
      <c r="J26" s="65" t="n">
        <f aca="false">J6+J16</f>
        <v>132826</v>
      </c>
      <c r="K26" s="67" t="n">
        <f aca="false">IF(D31=0,0,D26/D31)</f>
        <v>0.396458333333333</v>
      </c>
    </row>
    <row r="27" customFormat="false" ht="15" hidden="false" customHeight="true" outlineLevel="0" collapsed="false">
      <c r="A27" s="8" t="s">
        <v>165</v>
      </c>
      <c r="B27" s="65" t="n">
        <f aca="false">B7+B17</f>
        <v>1254</v>
      </c>
      <c r="C27" s="65" t="n">
        <f aca="false">C7+C17</f>
        <v>5054</v>
      </c>
      <c r="D27" s="66" t="n">
        <f aca="false">D7+D17</f>
        <v>8856</v>
      </c>
      <c r="E27" s="65" t="n">
        <f aca="false">E7+E17</f>
        <v>12060</v>
      </c>
      <c r="F27" s="65" t="n">
        <f aca="false">F7+F17</f>
        <v>15228</v>
      </c>
      <c r="G27" s="65" t="n">
        <f aca="false">G7+G17</f>
        <v>18000</v>
      </c>
      <c r="H27" s="65" t="n">
        <f aca="false">H7+H17</f>
        <v>20880</v>
      </c>
      <c r="I27" s="65" t="n">
        <f aca="false">I7+I17</f>
        <v>23760</v>
      </c>
      <c r="J27" s="65" t="n">
        <f aca="false">J7+J17</f>
        <v>105092</v>
      </c>
      <c r="K27" s="67" t="n">
        <f aca="false">IF(D31=0,0,D27/D31)</f>
        <v>0.3075</v>
      </c>
    </row>
    <row r="28" customFormat="false" ht="15" hidden="false" customHeight="true" outlineLevel="0" collapsed="false">
      <c r="A28" s="8" t="s">
        <v>170</v>
      </c>
      <c r="B28" s="65" t="n">
        <f aca="false">B8+B18</f>
        <v>1070</v>
      </c>
      <c r="C28" s="65" t="n">
        <f aca="false">C8+C18</f>
        <v>4342</v>
      </c>
      <c r="D28" s="66" t="n">
        <f aca="false">D8+D18</f>
        <v>3126</v>
      </c>
      <c r="E28" s="65" t="n">
        <f aca="false">E8+E18</f>
        <v>4325</v>
      </c>
      <c r="F28" s="65" t="n">
        <f aca="false">F8+F18</f>
        <v>5513</v>
      </c>
      <c r="G28" s="65" t="n">
        <f aca="false">G8+G18</f>
        <v>6520</v>
      </c>
      <c r="H28" s="65" t="n">
        <f aca="false">H8+H18</f>
        <v>7560</v>
      </c>
      <c r="I28" s="65" t="n">
        <f aca="false">I8+I18</f>
        <v>8600</v>
      </c>
      <c r="J28" s="65" t="n">
        <f aca="false">J8+J18</f>
        <v>41056</v>
      </c>
      <c r="K28" s="67" t="n">
        <f aca="false">IF(D31=0,0,D28/D31)</f>
        <v>0.108541666666667</v>
      </c>
    </row>
    <row r="29" customFormat="false" ht="15" hidden="false" customHeight="true" outlineLevel="0" collapsed="false">
      <c r="A29" s="8" t="s">
        <v>176</v>
      </c>
      <c r="B29" s="65" t="n">
        <f aca="false">B9+B19</f>
        <v>546</v>
      </c>
      <c r="C29" s="65" t="n">
        <f aca="false">C9+C19</f>
        <v>2256</v>
      </c>
      <c r="D29" s="66" t="n">
        <f aca="false">D9+D19</f>
        <v>3384</v>
      </c>
      <c r="E29" s="65" t="n">
        <f aca="false">E9+E19</f>
        <v>4758</v>
      </c>
      <c r="F29" s="65" t="n">
        <f aca="false">F9+F19</f>
        <v>6122</v>
      </c>
      <c r="G29" s="65" t="n">
        <f aca="false">G9+G19</f>
        <v>7244</v>
      </c>
      <c r="H29" s="65" t="n">
        <f aca="false">H9+H19</f>
        <v>8396</v>
      </c>
      <c r="I29" s="65" t="n">
        <f aca="false">I9+I19</f>
        <v>9548</v>
      </c>
      <c r="J29" s="65" t="n">
        <f aca="false">J9+J19</f>
        <v>42254</v>
      </c>
      <c r="K29" s="67" t="n">
        <f aca="false">IF(D31=0,0,D29/D31)</f>
        <v>0.1175</v>
      </c>
    </row>
    <row r="30" customFormat="false" ht="15" hidden="false" customHeight="true" outlineLevel="0" collapsed="false">
      <c r="A30" s="8" t="s">
        <v>183</v>
      </c>
      <c r="B30" s="65" t="n">
        <f aca="false">B10+B20</f>
        <v>160</v>
      </c>
      <c r="C30" s="65" t="n">
        <f aca="false">C10+C20</f>
        <v>704</v>
      </c>
      <c r="D30" s="66" t="n">
        <f aca="false">D10+D20</f>
        <v>2016</v>
      </c>
      <c r="E30" s="65" t="n">
        <f aca="false">E10+E20</f>
        <v>3072</v>
      </c>
      <c r="F30" s="65" t="n">
        <f aca="false">F10+F20</f>
        <v>4128</v>
      </c>
      <c r="G30" s="65" t="n">
        <f aca="false">G10+G20</f>
        <v>4896</v>
      </c>
      <c r="H30" s="65" t="n">
        <f aca="false">H10+H20</f>
        <v>5664</v>
      </c>
      <c r="I30" s="65" t="n">
        <f aca="false">I10+I20</f>
        <v>6432</v>
      </c>
      <c r="J30" s="65" t="n">
        <f aca="false">J10+J20</f>
        <v>27072</v>
      </c>
      <c r="K30" s="67" t="n">
        <f aca="false">IF(D31=0,0,D30/D31)</f>
        <v>0.07</v>
      </c>
    </row>
    <row r="31" customFormat="false" ht="15" hidden="false" customHeight="true" outlineLevel="0" collapsed="false">
      <c r="A31" s="59" t="s">
        <v>39</v>
      </c>
      <c r="B31" s="15" t="n">
        <f aca="false">SUM(B26:B30)</f>
        <v>3800</v>
      </c>
      <c r="C31" s="15" t="n">
        <f aca="false">SUM(C26:C30)</f>
        <v>15500</v>
      </c>
      <c r="D31" s="15" t="n">
        <f aca="false">SUM(D26:D30)</f>
        <v>28800</v>
      </c>
      <c r="E31" s="15" t="n">
        <f aca="false">SUM(E26:E30)</f>
        <v>39900</v>
      </c>
      <c r="F31" s="15" t="n">
        <f aca="false">SUM(F26:F30)</f>
        <v>50900</v>
      </c>
      <c r="G31" s="15" t="n">
        <f aca="false">SUM(G26:G30)</f>
        <v>60200</v>
      </c>
      <c r="H31" s="15" t="n">
        <f aca="false">SUM(H26:H30)</f>
        <v>69800</v>
      </c>
      <c r="I31" s="15" t="n">
        <f aca="false">SUM(I26:I30)</f>
        <v>79400</v>
      </c>
      <c r="J31" s="15" t="n">
        <f aca="false">SUM(J26:J30)</f>
        <v>348300</v>
      </c>
      <c r="K31" s="64" t="n">
        <f aca="false">1</f>
        <v>1</v>
      </c>
    </row>
    <row r="33" customFormat="false" ht="13.5" hidden="false" customHeight="true" outlineLevel="0" collapsed="false">
      <c r="A33" s="3" t="s">
        <v>207</v>
      </c>
      <c r="B33" s="3"/>
      <c r="C33" s="3"/>
      <c r="D33" s="3"/>
      <c r="E33" s="3"/>
      <c r="F33" s="3"/>
      <c r="G33" s="3"/>
      <c r="H33" s="3"/>
      <c r="I33" s="3"/>
      <c r="J33" s="3"/>
      <c r="K33" s="3"/>
    </row>
  </sheetData>
  <mergeCells count="3">
    <mergeCell ref="A1:K1"/>
    <mergeCell ref="A2:K2"/>
    <mergeCell ref="A33:K33"/>
  </mergeCell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&amp;L测算数据不构成收益承诺&amp;R按渠道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6304F"/>
    <pageSetUpPr fitToPage="true"/>
  </sheetPr>
  <dimension ref="A1:K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171875" defaultRowHeight="15" customHeight="false" zeroHeight="false" outlineLevelRow="0" outlineLevelCol="0"/>
  <cols>
    <col collapsed="false" customWidth="true" hidden="false" outlineLevel="0" max="1" min="1" style="1" width="28"/>
    <col collapsed="false" customWidth="true" hidden="false" outlineLevel="0" max="9" min="2" style="1" width="12"/>
    <col collapsed="false" customWidth="true" hidden="false" outlineLevel="0" max="10" min="10" style="1" width="13"/>
    <col collapsed="false" customWidth="true" hidden="false" outlineLevel="0" max="11" min="11" style="1" width="12"/>
  </cols>
  <sheetData>
    <row r="1" customFormat="false" ht="21" hidden="false" customHeight="true" outlineLevel="0" collapsed="false">
      <c r="A1" s="2" t="s">
        <v>208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customFormat="false" ht="15" hidden="false" customHeight="true" outlineLevel="0" collapsed="false">
      <c r="A2" s="3" t="s">
        <v>209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customFormat="false" ht="15" hidden="false" customHeight="true" outlineLevel="0" collapsed="false">
      <c r="A4" s="4" t="s">
        <v>202</v>
      </c>
    </row>
    <row r="5" customFormat="false" ht="15" hidden="false" customHeight="true" outlineLevel="0" collapsed="false">
      <c r="A5" s="5" t="s">
        <v>149</v>
      </c>
      <c r="B5" s="5" t="s">
        <v>31</v>
      </c>
      <c r="C5" s="5" t="s">
        <v>32</v>
      </c>
      <c r="D5" s="5" t="s">
        <v>33</v>
      </c>
      <c r="E5" s="5" t="s">
        <v>34</v>
      </c>
      <c r="F5" s="5" t="s">
        <v>35</v>
      </c>
      <c r="G5" s="5" t="s">
        <v>36</v>
      </c>
      <c r="H5" s="5" t="s">
        <v>37</v>
      </c>
      <c r="I5" s="5" t="s">
        <v>38</v>
      </c>
      <c r="J5" s="32" t="s">
        <v>96</v>
      </c>
      <c r="K5" s="5" t="s">
        <v>203</v>
      </c>
    </row>
    <row r="6" customFormat="false" ht="15" hidden="false" customHeight="true" outlineLevel="0" collapsed="false">
      <c r="A6" s="52" t="s">
        <v>157</v>
      </c>
      <c r="B6" s="42" t="n">
        <f aca="false">SUMIFS(年单明细!H$6:H$21,年单明细!$A$6:$A$21,"通道",年单明细!$C$6:$C$21,A6)</f>
        <v>858</v>
      </c>
      <c r="C6" s="42" t="n">
        <f aca="false">SUMIFS(年单明细!I$6:I$21,年单明细!$A$6:$A$21,"通道",年单明细!$C$6:$C$21,A6)</f>
        <v>3458</v>
      </c>
      <c r="D6" s="43" t="n">
        <f aca="false">SUMIFS(年单明细!J$6:J$21,年单明细!$A$6:$A$21,"通道",年单明细!$C$6:$C$21,A6)</f>
        <v>10332</v>
      </c>
      <c r="E6" s="42" t="n">
        <f aca="false">SUMIFS(年单明细!K$6:K$21,年单明细!$A$6:$A$21,"通道",年单明细!$C$6:$C$21,A6)</f>
        <v>14070</v>
      </c>
      <c r="F6" s="42" t="n">
        <f aca="false">SUMIFS(年单明细!L$6:L$21,年单明细!$A$6:$A$21,"通道",年单明细!$C$6:$C$21,A6)</f>
        <v>17766</v>
      </c>
      <c r="G6" s="42" t="n">
        <f aca="false">SUMIFS(年单明细!M$6:M$21,年单明细!$A$6:$A$21,"通道",年单明细!$C$6:$C$21,A6)</f>
        <v>21000</v>
      </c>
      <c r="H6" s="42" t="n">
        <f aca="false">SUMIFS(年单明细!N$6:N$21,年单明细!$A$6:$A$21,"通道",年单明细!$C$6:$C$21,A6)</f>
        <v>24360</v>
      </c>
      <c r="I6" s="42" t="n">
        <f aca="false">SUMIFS(年单明细!O$6:O$21,年单明细!$A$6:$A$21,"通道",年单明细!$C$6:$C$21,A6)</f>
        <v>27720</v>
      </c>
      <c r="J6" s="44" t="n">
        <f aca="false">SUM(B6:I6)</f>
        <v>119564</v>
      </c>
      <c r="K6" s="24" t="n">
        <f aca="false">IF(D11=0,0,D6/D11)</f>
        <v>0.42</v>
      </c>
    </row>
    <row r="7" customFormat="false" ht="15" hidden="false" customHeight="true" outlineLevel="0" collapsed="false">
      <c r="A7" s="52" t="s">
        <v>160</v>
      </c>
      <c r="B7" s="42" t="n">
        <f aca="false">SUMIFS(年单明细!H$6:H$21,年单明细!$A$6:$A$21,"通道",年单明细!$C$6:$C$21,A7)</f>
        <v>1518</v>
      </c>
      <c r="C7" s="42" t="n">
        <f aca="false">SUMIFS(年单明细!I$6:I$21,年单明细!$A$6:$A$21,"通道",年单明细!$C$6:$C$21,A7)</f>
        <v>6118</v>
      </c>
      <c r="D7" s="43" t="n">
        <f aca="false">SUMIFS(年单明细!J$6:J$21,年单明细!$A$6:$A$21,"通道",年单明细!$C$6:$C$21,A7)</f>
        <v>7872</v>
      </c>
      <c r="E7" s="42" t="n">
        <f aca="false">SUMIFS(年单明细!K$6:K$21,年单明细!$A$6:$A$21,"通道",年单明细!$C$6:$C$21,A7)</f>
        <v>10720</v>
      </c>
      <c r="F7" s="42" t="n">
        <f aca="false">SUMIFS(年单明细!L$6:L$21,年单明细!$A$6:$A$21,"通道",年单明细!$C$6:$C$21,A7)</f>
        <v>13536</v>
      </c>
      <c r="G7" s="42" t="n">
        <f aca="false">SUMIFS(年单明细!M$6:M$21,年单明细!$A$6:$A$21,"通道",年单明细!$C$6:$C$21,A7)</f>
        <v>16000</v>
      </c>
      <c r="H7" s="42" t="n">
        <f aca="false">SUMIFS(年单明细!N$6:N$21,年单明细!$A$6:$A$21,"通道",年单明细!$C$6:$C$21,A7)</f>
        <v>18560</v>
      </c>
      <c r="I7" s="42" t="n">
        <f aca="false">SUMIFS(年单明细!O$6:O$21,年单明细!$A$6:$A$21,"通道",年单明细!$C$6:$C$21,A7)</f>
        <v>21120</v>
      </c>
      <c r="J7" s="44" t="n">
        <f aca="false">SUM(B7:I7)</f>
        <v>95444</v>
      </c>
      <c r="K7" s="24" t="n">
        <f aca="false">IF(D11=0,0,D7/D11)</f>
        <v>0.32</v>
      </c>
    </row>
    <row r="8" customFormat="false" ht="15" hidden="false" customHeight="true" outlineLevel="0" collapsed="false">
      <c r="A8" s="52" t="s">
        <v>162</v>
      </c>
      <c r="B8" s="42" t="n">
        <f aca="false">SUMIFS(年单明细!H$6:H$21,年单明细!$A$6:$A$21,"通道",年单明细!$C$6:$C$21,A8)</f>
        <v>330</v>
      </c>
      <c r="C8" s="42" t="n">
        <f aca="false">SUMIFS(年单明细!I$6:I$21,年单明细!$A$6:$A$21,"通道",年单明细!$C$6:$C$21,A8)</f>
        <v>1330</v>
      </c>
      <c r="D8" s="43" t="n">
        <f aca="false">SUMIFS(年单明细!J$6:J$21,年单明细!$A$6:$A$21,"通道",年单明细!$C$6:$C$21,A8)</f>
        <v>1968</v>
      </c>
      <c r="E8" s="42" t="n">
        <f aca="false">SUMIFS(年单明细!K$6:K$21,年单明细!$A$6:$A$21,"通道",年单明细!$C$6:$C$21,A8)</f>
        <v>2680</v>
      </c>
      <c r="F8" s="42" t="n">
        <f aca="false">SUMIFS(年单明细!L$6:L$21,年单明细!$A$6:$A$21,"通道",年单明细!$C$6:$C$21,A8)</f>
        <v>3384</v>
      </c>
      <c r="G8" s="42" t="n">
        <f aca="false">SUMIFS(年单明细!M$6:M$21,年单明细!$A$6:$A$21,"通道",年单明细!$C$6:$C$21,A8)</f>
        <v>4000</v>
      </c>
      <c r="H8" s="42" t="n">
        <f aca="false">SUMIFS(年单明细!N$6:N$21,年单明细!$A$6:$A$21,"通道",年单明细!$C$6:$C$21,A8)</f>
        <v>4640</v>
      </c>
      <c r="I8" s="42" t="n">
        <f aca="false">SUMIFS(年单明细!O$6:O$21,年单明细!$A$6:$A$21,"通道",年单明细!$C$6:$C$21,A8)</f>
        <v>5280</v>
      </c>
      <c r="J8" s="44" t="n">
        <f aca="false">SUM(B8:I8)</f>
        <v>23612</v>
      </c>
      <c r="K8" s="24" t="n">
        <f aca="false">IF(D11=0,0,D8/D11)</f>
        <v>0.08</v>
      </c>
    </row>
    <row r="9" customFormat="false" ht="15" hidden="false" customHeight="true" outlineLevel="0" collapsed="false">
      <c r="A9" s="52" t="s">
        <v>172</v>
      </c>
      <c r="B9" s="42" t="n">
        <f aca="false">SUMIFS(年单明细!H$6:H$21,年单明细!$A$6:$A$21,"通道",年单明细!$C$6:$C$21,A9)</f>
        <v>264</v>
      </c>
      <c r="C9" s="42" t="n">
        <f aca="false">SUMIFS(年单明细!I$6:I$21,年单明细!$A$6:$A$21,"通道",年单明细!$C$6:$C$21,A9)</f>
        <v>1064</v>
      </c>
      <c r="D9" s="43" t="n">
        <f aca="false">SUMIFS(年单明细!J$6:J$21,年单明细!$A$6:$A$21,"通道",年单明细!$C$6:$C$21,A9)</f>
        <v>984</v>
      </c>
      <c r="E9" s="42" t="n">
        <f aca="false">SUMIFS(年单明细!K$6:K$21,年单明细!$A$6:$A$21,"通道",年单明细!$C$6:$C$21,A9)</f>
        <v>1340</v>
      </c>
      <c r="F9" s="42" t="n">
        <f aca="false">SUMIFS(年单明细!L$6:L$21,年单明细!$A$6:$A$21,"通道",年单明细!$C$6:$C$21,A9)</f>
        <v>1692</v>
      </c>
      <c r="G9" s="42" t="n">
        <f aca="false">SUMIFS(年单明细!M$6:M$21,年单明细!$A$6:$A$21,"通道",年单明细!$C$6:$C$21,A9)</f>
        <v>2000</v>
      </c>
      <c r="H9" s="42" t="n">
        <f aca="false">SUMIFS(年单明细!N$6:N$21,年单明细!$A$6:$A$21,"通道",年单明细!$C$6:$C$21,A9)</f>
        <v>2320</v>
      </c>
      <c r="I9" s="42" t="n">
        <f aca="false">SUMIFS(年单明细!O$6:O$21,年单明细!$A$6:$A$21,"通道",年单明细!$C$6:$C$21,A9)</f>
        <v>2640</v>
      </c>
      <c r="J9" s="44" t="n">
        <f aca="false">SUM(B9:I9)</f>
        <v>12304</v>
      </c>
      <c r="K9" s="24" t="n">
        <f aca="false">IF(D11=0,0,D9/D11)</f>
        <v>0.04</v>
      </c>
    </row>
    <row r="10" customFormat="false" ht="15" hidden="false" customHeight="true" outlineLevel="0" collapsed="false">
      <c r="A10" s="52" t="s">
        <v>168</v>
      </c>
      <c r="B10" s="42" t="n">
        <f aca="false">SUMIFS(年单明细!H$6:H$21,年单明细!$A$6:$A$21,"通道",年单明细!$C$6:$C$21,A10)</f>
        <v>330</v>
      </c>
      <c r="C10" s="42" t="n">
        <f aca="false">SUMIFS(年单明细!I$6:I$21,年单明细!$A$6:$A$21,"通道",年单明细!$C$6:$C$21,A10)</f>
        <v>1330</v>
      </c>
      <c r="D10" s="43" t="n">
        <f aca="false">SUMIFS(年单明细!J$6:J$21,年单明细!$A$6:$A$21,"通道",年单明细!$C$6:$C$21,A10)</f>
        <v>3444</v>
      </c>
      <c r="E10" s="42" t="n">
        <f aca="false">SUMIFS(年单明细!K$6:K$21,年单明细!$A$6:$A$21,"通道",年单明细!$C$6:$C$21,A10)</f>
        <v>4690</v>
      </c>
      <c r="F10" s="42" t="n">
        <f aca="false">SUMIFS(年单明细!L$6:L$21,年单明细!$A$6:$A$21,"通道",年单明细!$C$6:$C$21,A10)</f>
        <v>5922</v>
      </c>
      <c r="G10" s="42" t="n">
        <f aca="false">SUMIFS(年单明细!M$6:M$21,年单明细!$A$6:$A$21,"通道",年单明细!$C$6:$C$21,A10)</f>
        <v>7000</v>
      </c>
      <c r="H10" s="42" t="n">
        <f aca="false">SUMIFS(年单明细!N$6:N$21,年单明细!$A$6:$A$21,"通道",年单明细!$C$6:$C$21,A10)</f>
        <v>8120</v>
      </c>
      <c r="I10" s="42" t="n">
        <f aca="false">SUMIFS(年单明细!O$6:O$21,年单明细!$A$6:$A$21,"通道",年单明细!$C$6:$C$21,A10)</f>
        <v>9240</v>
      </c>
      <c r="J10" s="44" t="n">
        <f aca="false">SUM(B10:I10)</f>
        <v>40076</v>
      </c>
      <c r="K10" s="24" t="n">
        <f aca="false">IF(D11=0,0,D10/D11)</f>
        <v>0.14</v>
      </c>
    </row>
    <row r="11" customFormat="false" ht="15" hidden="false" customHeight="true" outlineLevel="0" collapsed="false">
      <c r="A11" s="59" t="s">
        <v>204</v>
      </c>
      <c r="B11" s="15" t="n">
        <f aca="false">SUM(B6:B10)</f>
        <v>3300</v>
      </c>
      <c r="C11" s="15" t="n">
        <f aca="false">SUM(C6:C10)</f>
        <v>13300</v>
      </c>
      <c r="D11" s="15" t="n">
        <f aca="false">SUM(D6:D10)</f>
        <v>24600</v>
      </c>
      <c r="E11" s="15" t="n">
        <f aca="false">SUM(E6:E10)</f>
        <v>33500</v>
      </c>
      <c r="F11" s="15" t="n">
        <f aca="false">SUM(F6:F10)</f>
        <v>42300</v>
      </c>
      <c r="G11" s="15" t="n">
        <f aca="false">SUM(G6:G10)</f>
        <v>50000</v>
      </c>
      <c r="H11" s="15" t="n">
        <f aca="false">SUM(H6:H10)</f>
        <v>58000</v>
      </c>
      <c r="I11" s="15" t="n">
        <f aca="false">SUM(I6:I10)</f>
        <v>66000</v>
      </c>
      <c r="J11" s="15" t="n">
        <f aca="false">SUM(J6:J10)</f>
        <v>291000</v>
      </c>
      <c r="K11" s="64" t="n">
        <f aca="false">IF(D11=0,0,D11/D11)</f>
        <v>1</v>
      </c>
    </row>
    <row r="14" customFormat="false" ht="15" hidden="false" customHeight="true" outlineLevel="0" collapsed="false">
      <c r="A14" s="4" t="s">
        <v>205</v>
      </c>
    </row>
    <row r="15" customFormat="false" ht="15" hidden="false" customHeight="true" outlineLevel="0" collapsed="false">
      <c r="A15" s="5" t="s">
        <v>149</v>
      </c>
      <c r="B15" s="5" t="s">
        <v>31</v>
      </c>
      <c r="C15" s="5" t="s">
        <v>32</v>
      </c>
      <c r="D15" s="5" t="s">
        <v>33</v>
      </c>
      <c r="E15" s="5" t="s">
        <v>34</v>
      </c>
      <c r="F15" s="5" t="s">
        <v>35</v>
      </c>
      <c r="G15" s="5" t="s">
        <v>36</v>
      </c>
      <c r="H15" s="5" t="s">
        <v>37</v>
      </c>
      <c r="I15" s="5" t="s">
        <v>38</v>
      </c>
      <c r="J15" s="32" t="s">
        <v>96</v>
      </c>
      <c r="K15" s="5" t="s">
        <v>203</v>
      </c>
    </row>
    <row r="16" customFormat="false" ht="15" hidden="false" customHeight="true" outlineLevel="0" collapsed="false">
      <c r="A16" s="56" t="s">
        <v>157</v>
      </c>
      <c r="B16" s="42" t="n">
        <f aca="false">SUMIFS(年单明细!H$6:H$21,年单明细!$A$6:$A$21,"自营",年单明细!$C$6:$C$21,A16)</f>
        <v>70</v>
      </c>
      <c r="C16" s="42" t="n">
        <f aca="false">SUMIFS(年单明细!I$6:I$21,年单明细!$A$6:$A$21,"自营",年单明细!$C$6:$C$21,A16)</f>
        <v>308</v>
      </c>
      <c r="D16" s="43" t="n">
        <f aca="false">SUMIFS(年单明细!J$6:J$21,年单明细!$A$6:$A$21,"自营",年单明细!$C$6:$C$21,A16)</f>
        <v>924</v>
      </c>
      <c r="E16" s="42" t="n">
        <f aca="false">SUMIFS(年单明细!K$6:K$21,年单明细!$A$6:$A$21,"自营",年单明细!$C$6:$C$21,A16)</f>
        <v>1408</v>
      </c>
      <c r="F16" s="42" t="n">
        <f aca="false">SUMIFS(年单明细!L$6:L$21,年单明细!$A$6:$A$21,"自营",年单明细!$C$6:$C$21,A16)</f>
        <v>1892</v>
      </c>
      <c r="G16" s="42" t="n">
        <f aca="false">SUMIFS(年单明细!M$6:M$21,年单明细!$A$6:$A$21,"自营",年单明细!$C$6:$C$21,A16)</f>
        <v>2244</v>
      </c>
      <c r="H16" s="42" t="n">
        <f aca="false">SUMIFS(年单明细!N$6:N$21,年单明细!$A$6:$A$21,"自营",年单明细!$C$6:$C$21,A16)</f>
        <v>2596</v>
      </c>
      <c r="I16" s="42" t="n">
        <f aca="false">SUMIFS(年单明细!O$6:O$21,年单明细!$A$6:$A$21,"自营",年单明细!$C$6:$C$21,A16)</f>
        <v>2948</v>
      </c>
      <c r="J16" s="44" t="n">
        <f aca="false">SUM(B16:I16)</f>
        <v>12390</v>
      </c>
      <c r="K16" s="24" t="n">
        <f aca="false">IF(D21=0,0,D16/D21)</f>
        <v>0.22</v>
      </c>
    </row>
    <row r="17" customFormat="false" ht="15" hidden="false" customHeight="true" outlineLevel="0" collapsed="false">
      <c r="A17" s="56" t="s">
        <v>160</v>
      </c>
      <c r="B17" s="42" t="n">
        <f aca="false">SUMIFS(年单明细!H$6:H$21,年单明细!$A$6:$A$21,"自营",年单明细!$C$6:$C$21,A17)</f>
        <v>200</v>
      </c>
      <c r="C17" s="42" t="n">
        <f aca="false">SUMIFS(年单明细!I$6:I$21,年单明细!$A$6:$A$21,"自营",年单明细!$C$6:$C$21,A17)</f>
        <v>880</v>
      </c>
      <c r="D17" s="43" t="n">
        <f aca="false">SUMIFS(年单明细!J$6:J$21,年单明细!$A$6:$A$21,"自营",年单明细!$C$6:$C$21,A17)</f>
        <v>1428</v>
      </c>
      <c r="E17" s="42" t="n">
        <f aca="false">SUMIFS(年单明细!K$6:K$21,年单明细!$A$6:$A$21,"自营",年单明细!$C$6:$C$21,A17)</f>
        <v>2176</v>
      </c>
      <c r="F17" s="42" t="n">
        <f aca="false">SUMIFS(年单明细!L$6:L$21,年单明细!$A$6:$A$21,"自营",年单明细!$C$6:$C$21,A17)</f>
        <v>2924</v>
      </c>
      <c r="G17" s="42" t="n">
        <f aca="false">SUMIFS(年单明细!M$6:M$21,年单明细!$A$6:$A$21,"自营",年单明细!$C$6:$C$21,A17)</f>
        <v>3468</v>
      </c>
      <c r="H17" s="42" t="n">
        <f aca="false">SUMIFS(年单明细!N$6:N$21,年单明细!$A$6:$A$21,"自营",年单明细!$C$6:$C$21,A17)</f>
        <v>4012</v>
      </c>
      <c r="I17" s="42" t="n">
        <f aca="false">SUMIFS(年单明细!O$6:O$21,年单明细!$A$6:$A$21,"自营",年单明细!$C$6:$C$21,A17)</f>
        <v>4556</v>
      </c>
      <c r="J17" s="44" t="n">
        <f aca="false">SUM(B17:I17)</f>
        <v>19644</v>
      </c>
      <c r="K17" s="24" t="n">
        <f aca="false">IF(D21=0,0,D17/D21)</f>
        <v>0.34</v>
      </c>
    </row>
    <row r="18" customFormat="false" ht="15" hidden="false" customHeight="true" outlineLevel="0" collapsed="false">
      <c r="A18" s="56" t="s">
        <v>162</v>
      </c>
      <c r="B18" s="42" t="n">
        <f aca="false">SUMIFS(年单明细!H$6:H$21,年单明细!$A$6:$A$21,"自营",年单明细!$C$6:$C$21,A18)</f>
        <v>80</v>
      </c>
      <c r="C18" s="42" t="n">
        <f aca="false">SUMIFS(年单明细!I$6:I$21,年单明细!$A$6:$A$21,"自营",年单明细!$C$6:$C$21,A18)</f>
        <v>352</v>
      </c>
      <c r="D18" s="43" t="n">
        <f aca="false">SUMIFS(年单明细!J$6:J$21,年单明细!$A$6:$A$21,"自营",年单明细!$C$6:$C$21,A18)</f>
        <v>420</v>
      </c>
      <c r="E18" s="42" t="n">
        <f aca="false">SUMIFS(年单明细!K$6:K$21,年单明细!$A$6:$A$21,"自营",年单明细!$C$6:$C$21,A18)</f>
        <v>640</v>
      </c>
      <c r="F18" s="42" t="n">
        <f aca="false">SUMIFS(年单明细!L$6:L$21,年单明细!$A$6:$A$21,"自营",年单明细!$C$6:$C$21,A18)</f>
        <v>860</v>
      </c>
      <c r="G18" s="42" t="n">
        <f aca="false">SUMIFS(年单明细!M$6:M$21,年单明细!$A$6:$A$21,"自营",年单明细!$C$6:$C$21,A18)</f>
        <v>1020</v>
      </c>
      <c r="H18" s="42" t="n">
        <f aca="false">SUMIFS(年单明细!N$6:N$21,年单明细!$A$6:$A$21,"自营",年单明细!$C$6:$C$21,A18)</f>
        <v>1180</v>
      </c>
      <c r="I18" s="42" t="n">
        <f aca="false">SUMIFS(年单明细!O$6:O$21,年单明细!$A$6:$A$21,"自营",年单明细!$C$6:$C$21,A18)</f>
        <v>1340</v>
      </c>
      <c r="J18" s="44" t="n">
        <f aca="false">SUM(B18:I18)</f>
        <v>5892</v>
      </c>
      <c r="K18" s="24" t="n">
        <f aca="false">IF(D21=0,0,D18/D21)</f>
        <v>0.1</v>
      </c>
    </row>
    <row r="19" customFormat="false" ht="15" hidden="false" customHeight="true" outlineLevel="0" collapsed="false">
      <c r="A19" s="56" t="s">
        <v>172</v>
      </c>
      <c r="B19" s="42" t="n">
        <f aca="false">SUMIFS(年单明细!H$6:H$21,年单明细!$A$6:$A$21,"自营",年单明细!$C$6:$C$21,A19)</f>
        <v>60</v>
      </c>
      <c r="C19" s="42" t="n">
        <f aca="false">SUMIFS(年单明细!I$6:I$21,年单明细!$A$6:$A$21,"自营",年单明细!$C$6:$C$21,A19)</f>
        <v>264</v>
      </c>
      <c r="D19" s="43" t="n">
        <f aca="false">SUMIFS(年单明细!J$6:J$21,年单明细!$A$6:$A$21,"自营",年单明细!$C$6:$C$21,A19)</f>
        <v>336</v>
      </c>
      <c r="E19" s="42" t="n">
        <f aca="false">SUMIFS(年单明细!K$6:K$21,年单明细!$A$6:$A$21,"自营",年单明细!$C$6:$C$21,A19)</f>
        <v>512</v>
      </c>
      <c r="F19" s="42" t="n">
        <f aca="false">SUMIFS(年单明细!L$6:L$21,年单明细!$A$6:$A$21,"自营",年单明细!$C$6:$C$21,A19)</f>
        <v>688</v>
      </c>
      <c r="G19" s="42" t="n">
        <f aca="false">SUMIFS(年单明细!M$6:M$21,年单明细!$A$6:$A$21,"自营",年单明细!$C$6:$C$21,A19)</f>
        <v>816</v>
      </c>
      <c r="H19" s="42" t="n">
        <f aca="false">SUMIFS(年单明细!N$6:N$21,年单明细!$A$6:$A$21,"自营",年单明细!$C$6:$C$21,A19)</f>
        <v>944</v>
      </c>
      <c r="I19" s="42" t="n">
        <f aca="false">SUMIFS(年单明细!O$6:O$21,年单明细!$A$6:$A$21,"自营",年单明细!$C$6:$C$21,A19)</f>
        <v>1072</v>
      </c>
      <c r="J19" s="44" t="n">
        <f aca="false">SUM(B19:I19)</f>
        <v>4692</v>
      </c>
      <c r="K19" s="24" t="n">
        <f aca="false">IF(D21=0,0,D19/D21)</f>
        <v>0.08</v>
      </c>
    </row>
    <row r="20" customFormat="false" ht="15" hidden="false" customHeight="true" outlineLevel="0" collapsed="false">
      <c r="A20" s="56" t="s">
        <v>168</v>
      </c>
      <c r="B20" s="42" t="n">
        <f aca="false">SUMIFS(年单明细!H$6:H$21,年单明细!$A$6:$A$21,"自营",年单明细!$C$6:$C$21,A20)</f>
        <v>90</v>
      </c>
      <c r="C20" s="42" t="n">
        <f aca="false">SUMIFS(年单明细!I$6:I$21,年单明细!$A$6:$A$21,"自营",年单明细!$C$6:$C$21,A20)</f>
        <v>396</v>
      </c>
      <c r="D20" s="43" t="n">
        <f aca="false">SUMIFS(年单明细!J$6:J$21,年单明细!$A$6:$A$21,"自营",年单明细!$C$6:$C$21,A20)</f>
        <v>1092</v>
      </c>
      <c r="E20" s="42" t="n">
        <f aca="false">SUMIFS(年单明细!K$6:K$21,年单明细!$A$6:$A$21,"自营",年单明细!$C$6:$C$21,A20)</f>
        <v>1664</v>
      </c>
      <c r="F20" s="42" t="n">
        <f aca="false">SUMIFS(年单明细!L$6:L$21,年单明细!$A$6:$A$21,"自营",年单明细!$C$6:$C$21,A20)</f>
        <v>2236</v>
      </c>
      <c r="G20" s="42" t="n">
        <f aca="false">SUMIFS(年单明细!M$6:M$21,年单明细!$A$6:$A$21,"自营",年单明细!$C$6:$C$21,A20)</f>
        <v>2652</v>
      </c>
      <c r="H20" s="42" t="n">
        <f aca="false">SUMIFS(年单明细!N$6:N$21,年单明细!$A$6:$A$21,"自营",年单明细!$C$6:$C$21,A20)</f>
        <v>3068</v>
      </c>
      <c r="I20" s="42" t="n">
        <f aca="false">SUMIFS(年单明细!O$6:O$21,年单明细!$A$6:$A$21,"自营",年单明细!$C$6:$C$21,A20)</f>
        <v>3484</v>
      </c>
      <c r="J20" s="44" t="n">
        <f aca="false">SUM(B20:I20)</f>
        <v>14682</v>
      </c>
      <c r="K20" s="24" t="n">
        <f aca="false">IF(D21=0,0,D20/D21)</f>
        <v>0.26</v>
      </c>
    </row>
    <row r="21" customFormat="false" ht="15" hidden="false" customHeight="true" outlineLevel="0" collapsed="false">
      <c r="A21" s="59" t="s">
        <v>204</v>
      </c>
      <c r="B21" s="15" t="n">
        <f aca="false">SUM(B16:B20)</f>
        <v>500</v>
      </c>
      <c r="C21" s="15" t="n">
        <f aca="false">SUM(C16:C20)</f>
        <v>2200</v>
      </c>
      <c r="D21" s="15" t="n">
        <f aca="false">SUM(D16:D20)</f>
        <v>4200</v>
      </c>
      <c r="E21" s="15" t="n">
        <f aca="false">SUM(E16:E20)</f>
        <v>6400</v>
      </c>
      <c r="F21" s="15" t="n">
        <f aca="false">SUM(F16:F20)</f>
        <v>8600</v>
      </c>
      <c r="G21" s="15" t="n">
        <f aca="false">SUM(G16:G20)</f>
        <v>10200</v>
      </c>
      <c r="H21" s="15" t="n">
        <f aca="false">SUM(H16:H20)</f>
        <v>11800</v>
      </c>
      <c r="I21" s="15" t="n">
        <f aca="false">SUM(I16:I20)</f>
        <v>13400</v>
      </c>
      <c r="J21" s="15" t="n">
        <f aca="false">SUM(J16:J20)</f>
        <v>57300</v>
      </c>
      <c r="K21" s="64" t="n">
        <f aca="false">IF(D21=0,0,D21/D21)</f>
        <v>1</v>
      </c>
    </row>
    <row r="24" customFormat="false" ht="16.5" hidden="false" customHeight="true" outlineLevel="0" collapsed="false">
      <c r="A24" s="4" t="s">
        <v>206</v>
      </c>
    </row>
    <row r="25" customFormat="false" ht="15" hidden="false" customHeight="true" outlineLevel="0" collapsed="false">
      <c r="A25" s="5" t="s">
        <v>149</v>
      </c>
      <c r="B25" s="5" t="s">
        <v>31</v>
      </c>
      <c r="C25" s="5" t="s">
        <v>32</v>
      </c>
      <c r="D25" s="5" t="s">
        <v>33</v>
      </c>
      <c r="E25" s="5" t="s">
        <v>34</v>
      </c>
      <c r="F25" s="5" t="s">
        <v>35</v>
      </c>
      <c r="G25" s="5" t="s">
        <v>36</v>
      </c>
      <c r="H25" s="5" t="s">
        <v>37</v>
      </c>
      <c r="I25" s="5" t="s">
        <v>38</v>
      </c>
      <c r="J25" s="32" t="s">
        <v>96</v>
      </c>
      <c r="K25" s="5" t="s">
        <v>203</v>
      </c>
    </row>
    <row r="26" customFormat="false" ht="15" hidden="false" customHeight="true" outlineLevel="0" collapsed="false">
      <c r="A26" s="8" t="s">
        <v>157</v>
      </c>
      <c r="B26" s="65" t="n">
        <f aca="false">B6+B16</f>
        <v>928</v>
      </c>
      <c r="C26" s="65" t="n">
        <f aca="false">C6+C16</f>
        <v>3766</v>
      </c>
      <c r="D26" s="66" t="n">
        <f aca="false">D6+D16</f>
        <v>11256</v>
      </c>
      <c r="E26" s="65" t="n">
        <f aca="false">E6+E16</f>
        <v>15478</v>
      </c>
      <c r="F26" s="65" t="n">
        <f aca="false">F6+F16</f>
        <v>19658</v>
      </c>
      <c r="G26" s="65" t="n">
        <f aca="false">G6+G16</f>
        <v>23244</v>
      </c>
      <c r="H26" s="65" t="n">
        <f aca="false">H6+H16</f>
        <v>26956</v>
      </c>
      <c r="I26" s="65" t="n">
        <f aca="false">I6+I16</f>
        <v>30668</v>
      </c>
      <c r="J26" s="65" t="n">
        <f aca="false">J6+J16</f>
        <v>131954</v>
      </c>
      <c r="K26" s="67" t="n">
        <f aca="false">IF(D31=0,0,D26/D31)</f>
        <v>0.390833333333333</v>
      </c>
    </row>
    <row r="27" customFormat="false" ht="15" hidden="false" customHeight="true" outlineLevel="0" collapsed="false">
      <c r="A27" s="8" t="s">
        <v>160</v>
      </c>
      <c r="B27" s="65" t="n">
        <f aca="false">B7+B17</f>
        <v>1718</v>
      </c>
      <c r="C27" s="65" t="n">
        <f aca="false">C7+C17</f>
        <v>6998</v>
      </c>
      <c r="D27" s="66" t="n">
        <f aca="false">D7+D17</f>
        <v>9300</v>
      </c>
      <c r="E27" s="65" t="n">
        <f aca="false">E7+E17</f>
        <v>12896</v>
      </c>
      <c r="F27" s="65" t="n">
        <f aca="false">F7+F17</f>
        <v>16460</v>
      </c>
      <c r="G27" s="65" t="n">
        <f aca="false">G7+G17</f>
        <v>19468</v>
      </c>
      <c r="H27" s="65" t="n">
        <f aca="false">H7+H17</f>
        <v>22572</v>
      </c>
      <c r="I27" s="65" t="n">
        <f aca="false">I7+I17</f>
        <v>25676</v>
      </c>
      <c r="J27" s="65" t="n">
        <f aca="false">J7+J17</f>
        <v>115088</v>
      </c>
      <c r="K27" s="67" t="n">
        <f aca="false">IF(D31=0,0,D27/D31)</f>
        <v>0.322916666666667</v>
      </c>
    </row>
    <row r="28" customFormat="false" ht="15" hidden="false" customHeight="true" outlineLevel="0" collapsed="false">
      <c r="A28" s="8" t="s">
        <v>162</v>
      </c>
      <c r="B28" s="65" t="n">
        <f aca="false">B8+B18</f>
        <v>410</v>
      </c>
      <c r="C28" s="65" t="n">
        <f aca="false">C8+C18</f>
        <v>1682</v>
      </c>
      <c r="D28" s="66" t="n">
        <f aca="false">D8+D18</f>
        <v>2388</v>
      </c>
      <c r="E28" s="65" t="n">
        <f aca="false">E8+E18</f>
        <v>3320</v>
      </c>
      <c r="F28" s="65" t="n">
        <f aca="false">F8+F18</f>
        <v>4244</v>
      </c>
      <c r="G28" s="65" t="n">
        <f aca="false">G8+G18</f>
        <v>5020</v>
      </c>
      <c r="H28" s="65" t="n">
        <f aca="false">H8+H18</f>
        <v>5820</v>
      </c>
      <c r="I28" s="65" t="n">
        <f aca="false">I8+I18</f>
        <v>6620</v>
      </c>
      <c r="J28" s="65" t="n">
        <f aca="false">J8+J18</f>
        <v>29504</v>
      </c>
      <c r="K28" s="67" t="n">
        <f aca="false">IF(D31=0,0,D28/D31)</f>
        <v>0.0829166666666667</v>
      </c>
    </row>
    <row r="29" customFormat="false" ht="15" hidden="false" customHeight="true" outlineLevel="0" collapsed="false">
      <c r="A29" s="8" t="s">
        <v>172</v>
      </c>
      <c r="B29" s="65" t="n">
        <f aca="false">B9+B19</f>
        <v>324</v>
      </c>
      <c r="C29" s="65" t="n">
        <f aca="false">C9+C19</f>
        <v>1328</v>
      </c>
      <c r="D29" s="66" t="n">
        <f aca="false">D9+D19</f>
        <v>1320</v>
      </c>
      <c r="E29" s="65" t="n">
        <f aca="false">E9+E19</f>
        <v>1852</v>
      </c>
      <c r="F29" s="65" t="n">
        <f aca="false">F9+F19</f>
        <v>2380</v>
      </c>
      <c r="G29" s="65" t="n">
        <f aca="false">G9+G19</f>
        <v>2816</v>
      </c>
      <c r="H29" s="65" t="n">
        <f aca="false">H9+H19</f>
        <v>3264</v>
      </c>
      <c r="I29" s="65" t="n">
        <f aca="false">I9+I19</f>
        <v>3712</v>
      </c>
      <c r="J29" s="65" t="n">
        <f aca="false">J9+J19</f>
        <v>16996</v>
      </c>
      <c r="K29" s="67" t="n">
        <f aca="false">IF(D31=0,0,D29/D31)</f>
        <v>0.0458333333333333</v>
      </c>
    </row>
    <row r="30" customFormat="false" ht="15" hidden="false" customHeight="true" outlineLevel="0" collapsed="false">
      <c r="A30" s="8" t="s">
        <v>168</v>
      </c>
      <c r="B30" s="65" t="n">
        <f aca="false">B10+B20</f>
        <v>420</v>
      </c>
      <c r="C30" s="65" t="n">
        <f aca="false">C10+C20</f>
        <v>1726</v>
      </c>
      <c r="D30" s="66" t="n">
        <f aca="false">D10+D20</f>
        <v>4536</v>
      </c>
      <c r="E30" s="65" t="n">
        <f aca="false">E10+E20</f>
        <v>6354</v>
      </c>
      <c r="F30" s="65" t="n">
        <f aca="false">F10+F20</f>
        <v>8158</v>
      </c>
      <c r="G30" s="65" t="n">
        <f aca="false">G10+G20</f>
        <v>9652</v>
      </c>
      <c r="H30" s="65" t="n">
        <f aca="false">H10+H20</f>
        <v>11188</v>
      </c>
      <c r="I30" s="65" t="n">
        <f aca="false">I10+I20</f>
        <v>12724</v>
      </c>
      <c r="J30" s="65" t="n">
        <f aca="false">J10+J20</f>
        <v>54758</v>
      </c>
      <c r="K30" s="67" t="n">
        <f aca="false">IF(D31=0,0,D30/D31)</f>
        <v>0.1575</v>
      </c>
    </row>
    <row r="31" customFormat="false" ht="15" hidden="false" customHeight="true" outlineLevel="0" collapsed="false">
      <c r="A31" s="59" t="s">
        <v>39</v>
      </c>
      <c r="B31" s="15" t="n">
        <f aca="false">SUM(B26:B30)</f>
        <v>3800</v>
      </c>
      <c r="C31" s="15" t="n">
        <f aca="false">SUM(C26:C30)</f>
        <v>15500</v>
      </c>
      <c r="D31" s="15" t="n">
        <f aca="false">SUM(D26:D30)</f>
        <v>28800</v>
      </c>
      <c r="E31" s="15" t="n">
        <f aca="false">SUM(E26:E30)</f>
        <v>39900</v>
      </c>
      <c r="F31" s="15" t="n">
        <f aca="false">SUM(F26:F30)</f>
        <v>50900</v>
      </c>
      <c r="G31" s="15" t="n">
        <f aca="false">SUM(G26:G30)</f>
        <v>60200</v>
      </c>
      <c r="H31" s="15" t="n">
        <f aca="false">SUM(H26:H30)</f>
        <v>69800</v>
      </c>
      <c r="I31" s="15" t="n">
        <f aca="false">SUM(I26:I30)</f>
        <v>79400</v>
      </c>
      <c r="J31" s="15" t="n">
        <f aca="false">SUM(J26:J30)</f>
        <v>348300</v>
      </c>
      <c r="K31" s="64" t="n">
        <f aca="false">1</f>
        <v>1</v>
      </c>
    </row>
    <row r="33" customFormat="false" ht="13.5" hidden="false" customHeight="true" outlineLevel="0" collapsed="false">
      <c r="A33" s="3" t="s">
        <v>207</v>
      </c>
      <c r="B33" s="3"/>
      <c r="C33" s="3"/>
      <c r="D33" s="3"/>
      <c r="E33" s="3"/>
      <c r="F33" s="3"/>
      <c r="G33" s="3"/>
      <c r="H33" s="3"/>
      <c r="I33" s="3"/>
      <c r="J33" s="3"/>
      <c r="K33" s="3"/>
    </row>
  </sheetData>
  <mergeCells count="3">
    <mergeCell ref="A1:K1"/>
    <mergeCell ref="A2:K2"/>
    <mergeCell ref="A33:K33"/>
  </mergeCell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&amp;L测算数据不构成收益承诺&amp;R按场景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6A4E20"/>
    <pageSetUpPr fitToPage="true"/>
  </sheetPr>
  <dimension ref="A1:K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171875" defaultRowHeight="15" customHeight="false" zeroHeight="false" outlineLevelRow="0" outlineLevelCol="0"/>
  <cols>
    <col collapsed="false" customWidth="true" hidden="false" outlineLevel="0" max="1" min="1" style="1" width="28"/>
    <col collapsed="false" customWidth="true" hidden="false" outlineLevel="0" max="9" min="2" style="1" width="12"/>
    <col collapsed="false" customWidth="true" hidden="false" outlineLevel="0" max="10" min="10" style="1" width="13"/>
    <col collapsed="false" customWidth="true" hidden="false" outlineLevel="0" max="11" min="11" style="1" width="12"/>
  </cols>
  <sheetData>
    <row r="1" customFormat="false" ht="21" hidden="false" customHeight="true" outlineLevel="0" collapsed="false">
      <c r="A1" s="2" t="s">
        <v>210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customFormat="false" ht="15" hidden="false" customHeight="true" outlineLevel="0" collapsed="false">
      <c r="A2" s="3" t="s">
        <v>211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customFormat="false" ht="15" hidden="false" customHeight="true" outlineLevel="0" collapsed="false">
      <c r="A4" s="4" t="s">
        <v>202</v>
      </c>
    </row>
    <row r="5" customFormat="false" ht="15" hidden="false" customHeight="true" outlineLevel="0" collapsed="false">
      <c r="A5" s="5" t="s">
        <v>150</v>
      </c>
      <c r="B5" s="5" t="s">
        <v>31</v>
      </c>
      <c r="C5" s="5" t="s">
        <v>32</v>
      </c>
      <c r="D5" s="5" t="s">
        <v>33</v>
      </c>
      <c r="E5" s="5" t="s">
        <v>34</v>
      </c>
      <c r="F5" s="5" t="s">
        <v>35</v>
      </c>
      <c r="G5" s="5" t="s">
        <v>36</v>
      </c>
      <c r="H5" s="5" t="s">
        <v>37</v>
      </c>
      <c r="I5" s="5" t="s">
        <v>38</v>
      </c>
      <c r="J5" s="32" t="s">
        <v>96</v>
      </c>
      <c r="K5" s="5" t="s">
        <v>203</v>
      </c>
    </row>
    <row r="6" customFormat="false" ht="15" hidden="false" customHeight="true" outlineLevel="0" collapsed="false">
      <c r="A6" s="52" t="s">
        <v>158</v>
      </c>
      <c r="B6" s="42" t="n">
        <f aca="false">SUMIFS(年单明细!H$6:H$21,年单明细!$A$6:$A$21,"通道",年单明细!$D$6:$D$21,A6)</f>
        <v>858</v>
      </c>
      <c r="C6" s="42" t="n">
        <f aca="false">SUMIFS(年单明细!I$6:I$21,年单明细!$A$6:$A$21,"通道",年单明细!$D$6:$D$21,A6)</f>
        <v>3458</v>
      </c>
      <c r="D6" s="43" t="n">
        <f aca="false">SUMIFS(年单明细!J$6:J$21,年单明细!$A$6:$A$21,"通道",年单明细!$D$6:$D$21,A6)</f>
        <v>12792</v>
      </c>
      <c r="E6" s="42" t="n">
        <f aca="false">SUMIFS(年单明细!K$6:K$21,年单明细!$A$6:$A$21,"通道",年单明细!$D$6:$D$21,A6)</f>
        <v>17420</v>
      </c>
      <c r="F6" s="42" t="n">
        <f aca="false">SUMIFS(年单明细!L$6:L$21,年单明细!$A$6:$A$21,"通道",年单明细!$D$6:$D$21,A6)</f>
        <v>21996</v>
      </c>
      <c r="G6" s="42" t="n">
        <f aca="false">SUMIFS(年单明细!M$6:M$21,年单明细!$A$6:$A$21,"通道",年单明细!$D$6:$D$21,A6)</f>
        <v>26000</v>
      </c>
      <c r="H6" s="42" t="n">
        <f aca="false">SUMIFS(年单明细!N$6:N$21,年单明细!$A$6:$A$21,"通道",年单明细!$D$6:$D$21,A6)</f>
        <v>30160</v>
      </c>
      <c r="I6" s="42" t="n">
        <f aca="false">SUMIFS(年单明细!O$6:O$21,年单明细!$A$6:$A$21,"通道",年单明细!$D$6:$D$21,A6)</f>
        <v>34320</v>
      </c>
      <c r="J6" s="44" t="n">
        <f aca="false">SUM(B6:I6)</f>
        <v>147004</v>
      </c>
      <c r="K6" s="24" t="n">
        <f aca="false">IF(D11=0,0,D6/D11)</f>
        <v>0.52</v>
      </c>
    </row>
    <row r="7" customFormat="false" ht="15" hidden="false" customHeight="true" outlineLevel="0" collapsed="false">
      <c r="A7" s="52" t="s">
        <v>163</v>
      </c>
      <c r="B7" s="42" t="n">
        <f aca="false">SUMIFS(年单明细!H$6:H$21,年单明细!$A$6:$A$21,"通道",年单明细!$D$6:$D$21,A7)</f>
        <v>1782</v>
      </c>
      <c r="C7" s="42" t="n">
        <f aca="false">SUMIFS(年单明细!I$6:I$21,年单明细!$A$6:$A$21,"通道",年单明细!$D$6:$D$21,A7)</f>
        <v>7182</v>
      </c>
      <c r="D7" s="43" t="n">
        <f aca="false">SUMIFS(年单明细!J$6:J$21,年单明细!$A$6:$A$21,"通道",年单明细!$D$6:$D$21,A7)</f>
        <v>8364</v>
      </c>
      <c r="E7" s="42" t="n">
        <f aca="false">SUMIFS(年单明细!K$6:K$21,年单明细!$A$6:$A$21,"通道",年单明细!$D$6:$D$21,A7)</f>
        <v>11390</v>
      </c>
      <c r="F7" s="42" t="n">
        <f aca="false">SUMIFS(年单明细!L$6:L$21,年单明细!$A$6:$A$21,"通道",年单明细!$D$6:$D$21,A7)</f>
        <v>14382</v>
      </c>
      <c r="G7" s="42" t="n">
        <f aca="false">SUMIFS(年单明细!M$6:M$21,年单明细!$A$6:$A$21,"通道",年单明细!$D$6:$D$21,A7)</f>
        <v>17000</v>
      </c>
      <c r="H7" s="42" t="n">
        <f aca="false">SUMIFS(年单明细!N$6:N$21,年单明细!$A$6:$A$21,"通道",年单明细!$D$6:$D$21,A7)</f>
        <v>19720</v>
      </c>
      <c r="I7" s="42" t="n">
        <f aca="false">SUMIFS(年单明细!O$6:O$21,年单明细!$A$6:$A$21,"通道",年单明细!$D$6:$D$21,A7)</f>
        <v>22440</v>
      </c>
      <c r="J7" s="44" t="n">
        <f aca="false">SUM(B7:I7)</f>
        <v>102260</v>
      </c>
      <c r="K7" s="24" t="n">
        <f aca="false">IF(D11=0,0,D7/D11)</f>
        <v>0.34</v>
      </c>
    </row>
    <row r="8" customFormat="false" ht="15" hidden="false" customHeight="true" outlineLevel="0" collapsed="false">
      <c r="A8" s="52" t="s">
        <v>177</v>
      </c>
      <c r="B8" s="42" t="n">
        <f aca="false">SUMIFS(年单明细!H$6:H$21,年单明细!$A$6:$A$21,"通道",年单明细!$D$6:$D$21,A8)</f>
        <v>396</v>
      </c>
      <c r="C8" s="42" t="n">
        <f aca="false">SUMIFS(年单明细!I$6:I$21,年单明细!$A$6:$A$21,"通道",年单明细!$D$6:$D$21,A8)</f>
        <v>1596</v>
      </c>
      <c r="D8" s="43" t="n">
        <f aca="false">SUMIFS(年单明细!J$6:J$21,年单明细!$A$6:$A$21,"通道",年单明细!$D$6:$D$21,A8)</f>
        <v>2460</v>
      </c>
      <c r="E8" s="42" t="n">
        <f aca="false">SUMIFS(年单明细!K$6:K$21,年单明细!$A$6:$A$21,"通道",年单明细!$D$6:$D$21,A8)</f>
        <v>3350</v>
      </c>
      <c r="F8" s="42" t="n">
        <f aca="false">SUMIFS(年单明细!L$6:L$21,年单明细!$A$6:$A$21,"通道",年单明细!$D$6:$D$21,A8)</f>
        <v>4230</v>
      </c>
      <c r="G8" s="42" t="n">
        <f aca="false">SUMIFS(年单明细!M$6:M$21,年单明细!$A$6:$A$21,"通道",年单明细!$D$6:$D$21,A8)</f>
        <v>5000</v>
      </c>
      <c r="H8" s="42" t="n">
        <f aca="false">SUMIFS(年单明细!N$6:N$21,年单明细!$A$6:$A$21,"通道",年单明细!$D$6:$D$21,A8)</f>
        <v>5800</v>
      </c>
      <c r="I8" s="42" t="n">
        <f aca="false">SUMIFS(年单明细!O$6:O$21,年单明细!$A$6:$A$21,"通道",年单明细!$D$6:$D$21,A8)</f>
        <v>6600</v>
      </c>
      <c r="J8" s="44" t="n">
        <f aca="false">SUM(B8:I8)</f>
        <v>29432</v>
      </c>
      <c r="K8" s="24" t="n">
        <f aca="false">IF(D11=0,0,D8/D11)</f>
        <v>0.1</v>
      </c>
    </row>
    <row r="9" customFormat="false" ht="15" hidden="false" customHeight="true" outlineLevel="0" collapsed="false">
      <c r="A9" s="52" t="s">
        <v>180</v>
      </c>
      <c r="B9" s="42" t="n">
        <f aca="false">SUMIFS(年单明细!H$6:H$21,年单明细!$A$6:$A$21,"通道",年单明细!$D$6:$D$21,A9)</f>
        <v>0</v>
      </c>
      <c r="C9" s="42" t="n">
        <f aca="false">SUMIFS(年单明细!I$6:I$21,年单明细!$A$6:$A$21,"通道",年单明细!$D$6:$D$21,A9)</f>
        <v>0</v>
      </c>
      <c r="D9" s="43" t="n">
        <f aca="false">SUMIFS(年单明细!J$6:J$21,年单明细!$A$6:$A$21,"通道",年单明细!$D$6:$D$21,A9)</f>
        <v>0</v>
      </c>
      <c r="E9" s="42" t="n">
        <f aca="false">SUMIFS(年单明细!K$6:K$21,年单明细!$A$6:$A$21,"通道",年单明细!$D$6:$D$21,A9)</f>
        <v>0</v>
      </c>
      <c r="F9" s="42" t="n">
        <f aca="false">SUMIFS(年单明细!L$6:L$21,年单明细!$A$6:$A$21,"通道",年单明细!$D$6:$D$21,A9)</f>
        <v>0</v>
      </c>
      <c r="G9" s="42" t="n">
        <f aca="false">SUMIFS(年单明细!M$6:M$21,年单明细!$A$6:$A$21,"通道",年单明细!$D$6:$D$21,A9)</f>
        <v>0</v>
      </c>
      <c r="H9" s="42" t="n">
        <f aca="false">SUMIFS(年单明细!N$6:N$21,年单明细!$A$6:$A$21,"通道",年单明细!$D$6:$D$21,A9)</f>
        <v>0</v>
      </c>
      <c r="I9" s="42" t="n">
        <f aca="false">SUMIFS(年单明细!O$6:O$21,年单明细!$A$6:$A$21,"通道",年单明细!$D$6:$D$21,A9)</f>
        <v>0</v>
      </c>
      <c r="J9" s="44" t="n">
        <f aca="false">SUM(B9:I9)</f>
        <v>0</v>
      </c>
      <c r="K9" s="24" t="n">
        <f aca="false">IF(D11=0,0,D9/D11)</f>
        <v>0</v>
      </c>
    </row>
    <row r="10" customFormat="false" ht="15" hidden="false" customHeight="true" outlineLevel="0" collapsed="false">
      <c r="A10" s="52" t="s">
        <v>173</v>
      </c>
      <c r="B10" s="42" t="n">
        <f aca="false">SUMIFS(年单明细!H$6:H$21,年单明细!$A$6:$A$21,"通道",年单明细!$D$6:$D$21,A10)</f>
        <v>264</v>
      </c>
      <c r="C10" s="42" t="n">
        <f aca="false">SUMIFS(年单明细!I$6:I$21,年单明细!$A$6:$A$21,"通道",年单明细!$D$6:$D$21,A10)</f>
        <v>1064</v>
      </c>
      <c r="D10" s="43" t="n">
        <f aca="false">SUMIFS(年单明细!J$6:J$21,年单明细!$A$6:$A$21,"通道",年单明细!$D$6:$D$21,A10)</f>
        <v>984</v>
      </c>
      <c r="E10" s="42" t="n">
        <f aca="false">SUMIFS(年单明细!K$6:K$21,年单明细!$A$6:$A$21,"通道",年单明细!$D$6:$D$21,A10)</f>
        <v>1340</v>
      </c>
      <c r="F10" s="42" t="n">
        <f aca="false">SUMIFS(年单明细!L$6:L$21,年单明细!$A$6:$A$21,"通道",年单明细!$D$6:$D$21,A10)</f>
        <v>1692</v>
      </c>
      <c r="G10" s="42" t="n">
        <f aca="false">SUMIFS(年单明细!M$6:M$21,年单明细!$A$6:$A$21,"通道",年单明细!$D$6:$D$21,A10)</f>
        <v>2000</v>
      </c>
      <c r="H10" s="42" t="n">
        <f aca="false">SUMIFS(年单明细!N$6:N$21,年单明细!$A$6:$A$21,"通道",年单明细!$D$6:$D$21,A10)</f>
        <v>2320</v>
      </c>
      <c r="I10" s="42" t="n">
        <f aca="false">SUMIFS(年单明细!O$6:O$21,年单明细!$A$6:$A$21,"通道",年单明细!$D$6:$D$21,A10)</f>
        <v>2640</v>
      </c>
      <c r="J10" s="44" t="n">
        <f aca="false">SUM(B10:I10)</f>
        <v>12304</v>
      </c>
      <c r="K10" s="24" t="n">
        <f aca="false">IF(D11=0,0,D10/D11)</f>
        <v>0.04</v>
      </c>
    </row>
    <row r="11" customFormat="false" ht="15" hidden="false" customHeight="true" outlineLevel="0" collapsed="false">
      <c r="A11" s="59" t="s">
        <v>204</v>
      </c>
      <c r="B11" s="15" t="n">
        <f aca="false">SUM(B6:B10)</f>
        <v>3300</v>
      </c>
      <c r="C11" s="15" t="n">
        <f aca="false">SUM(C6:C10)</f>
        <v>13300</v>
      </c>
      <c r="D11" s="15" t="n">
        <f aca="false">SUM(D6:D10)</f>
        <v>24600</v>
      </c>
      <c r="E11" s="15" t="n">
        <f aca="false">SUM(E6:E10)</f>
        <v>33500</v>
      </c>
      <c r="F11" s="15" t="n">
        <f aca="false">SUM(F6:F10)</f>
        <v>42300</v>
      </c>
      <c r="G11" s="15" t="n">
        <f aca="false">SUM(G6:G10)</f>
        <v>50000</v>
      </c>
      <c r="H11" s="15" t="n">
        <f aca="false">SUM(H6:H10)</f>
        <v>58000</v>
      </c>
      <c r="I11" s="15" t="n">
        <f aca="false">SUM(I6:I10)</f>
        <v>66000</v>
      </c>
      <c r="J11" s="15" t="n">
        <f aca="false">SUM(J6:J10)</f>
        <v>291000</v>
      </c>
      <c r="K11" s="64" t="n">
        <f aca="false">IF(D11=0,0,D11/D11)</f>
        <v>1</v>
      </c>
    </row>
    <row r="14" customFormat="false" ht="15" hidden="false" customHeight="true" outlineLevel="0" collapsed="false">
      <c r="A14" s="4" t="s">
        <v>205</v>
      </c>
    </row>
    <row r="15" customFormat="false" ht="15" hidden="false" customHeight="true" outlineLevel="0" collapsed="false">
      <c r="A15" s="5" t="s">
        <v>150</v>
      </c>
      <c r="B15" s="5" t="s">
        <v>31</v>
      </c>
      <c r="C15" s="5" t="s">
        <v>32</v>
      </c>
      <c r="D15" s="5" t="s">
        <v>33</v>
      </c>
      <c r="E15" s="5" t="s">
        <v>34</v>
      </c>
      <c r="F15" s="5" t="s">
        <v>35</v>
      </c>
      <c r="G15" s="5" t="s">
        <v>36</v>
      </c>
      <c r="H15" s="5" t="s">
        <v>37</v>
      </c>
      <c r="I15" s="5" t="s">
        <v>38</v>
      </c>
      <c r="J15" s="32" t="s">
        <v>96</v>
      </c>
      <c r="K15" s="5" t="s">
        <v>203</v>
      </c>
    </row>
    <row r="16" customFormat="false" ht="15" hidden="false" customHeight="true" outlineLevel="0" collapsed="false">
      <c r="A16" s="56" t="s">
        <v>158</v>
      </c>
      <c r="B16" s="42" t="n">
        <f aca="false">SUMIFS(年单明细!H$6:H$21,年单明细!$A$6:$A$21,"自营",年单明细!$D$6:$D$21,A16)</f>
        <v>110</v>
      </c>
      <c r="C16" s="42" t="n">
        <f aca="false">SUMIFS(年单明细!I$6:I$21,年单明细!$A$6:$A$21,"自营",年单明细!$D$6:$D$21,A16)</f>
        <v>484</v>
      </c>
      <c r="D16" s="43" t="n">
        <f aca="false">SUMIFS(年单明细!J$6:J$21,年单明细!$A$6:$A$21,"自营",年单明细!$D$6:$D$21,A16)</f>
        <v>840</v>
      </c>
      <c r="E16" s="42" t="n">
        <f aca="false">SUMIFS(年单明细!K$6:K$21,年单明细!$A$6:$A$21,"自营",年单明细!$D$6:$D$21,A16)</f>
        <v>1280</v>
      </c>
      <c r="F16" s="42" t="n">
        <f aca="false">SUMIFS(年单明细!L$6:L$21,年单明细!$A$6:$A$21,"自营",年单明细!$D$6:$D$21,A16)</f>
        <v>1720</v>
      </c>
      <c r="G16" s="42" t="n">
        <f aca="false">SUMIFS(年单明细!M$6:M$21,年单明细!$A$6:$A$21,"自营",年单明细!$D$6:$D$21,A16)</f>
        <v>2040</v>
      </c>
      <c r="H16" s="42" t="n">
        <f aca="false">SUMIFS(年单明细!N$6:N$21,年单明细!$A$6:$A$21,"自营",年单明细!$D$6:$D$21,A16)</f>
        <v>2360</v>
      </c>
      <c r="I16" s="42" t="n">
        <f aca="false">SUMIFS(年单明细!O$6:O$21,年单明细!$A$6:$A$21,"自营",年单明细!$D$6:$D$21,A16)</f>
        <v>2680</v>
      </c>
      <c r="J16" s="44" t="n">
        <f aca="false">SUM(B16:I16)</f>
        <v>11514</v>
      </c>
      <c r="K16" s="24" t="n">
        <f aca="false">IF(D21=0,0,D16/D21)</f>
        <v>0.2</v>
      </c>
    </row>
    <row r="17" customFormat="false" ht="15" hidden="false" customHeight="true" outlineLevel="0" collapsed="false">
      <c r="A17" s="56" t="s">
        <v>163</v>
      </c>
      <c r="B17" s="42" t="n">
        <f aca="false">SUMIFS(年单明细!H$6:H$21,年单明细!$A$6:$A$21,"自营",年单明细!$D$6:$D$21,A17)</f>
        <v>80</v>
      </c>
      <c r="C17" s="42" t="n">
        <f aca="false">SUMIFS(年单明细!I$6:I$21,年单明细!$A$6:$A$21,"自营",年单明细!$D$6:$D$21,A17)</f>
        <v>352</v>
      </c>
      <c r="D17" s="43" t="n">
        <f aca="false">SUMIFS(年单明细!J$6:J$21,年单明细!$A$6:$A$21,"自营",年单明细!$D$6:$D$21,A17)</f>
        <v>420</v>
      </c>
      <c r="E17" s="42" t="n">
        <f aca="false">SUMIFS(年单明细!K$6:K$21,年单明细!$A$6:$A$21,"自营",年单明细!$D$6:$D$21,A17)</f>
        <v>640</v>
      </c>
      <c r="F17" s="42" t="n">
        <f aca="false">SUMIFS(年单明细!L$6:L$21,年单明细!$A$6:$A$21,"自营",年单明细!$D$6:$D$21,A17)</f>
        <v>860</v>
      </c>
      <c r="G17" s="42" t="n">
        <f aca="false">SUMIFS(年单明细!M$6:M$21,年单明细!$A$6:$A$21,"自营",年单明细!$D$6:$D$21,A17)</f>
        <v>1020</v>
      </c>
      <c r="H17" s="42" t="n">
        <f aca="false">SUMIFS(年单明细!N$6:N$21,年单明细!$A$6:$A$21,"自营",年单明细!$D$6:$D$21,A17)</f>
        <v>1180</v>
      </c>
      <c r="I17" s="42" t="n">
        <f aca="false">SUMIFS(年单明细!O$6:O$21,年单明细!$A$6:$A$21,"自营",年单明细!$D$6:$D$21,A17)</f>
        <v>1340</v>
      </c>
      <c r="J17" s="44" t="n">
        <f aca="false">SUM(B17:I17)</f>
        <v>5892</v>
      </c>
      <c r="K17" s="24" t="n">
        <f aca="false">IF(D21=0,0,D17/D21)</f>
        <v>0.1</v>
      </c>
    </row>
    <row r="18" customFormat="false" ht="15" hidden="false" customHeight="true" outlineLevel="0" collapsed="false">
      <c r="A18" s="56" t="s">
        <v>177</v>
      </c>
      <c r="B18" s="42" t="n">
        <f aca="false">SUMIFS(年单明细!H$6:H$21,年单明细!$A$6:$A$21,"自营",年单明细!$D$6:$D$21,A18)</f>
        <v>160</v>
      </c>
      <c r="C18" s="42" t="n">
        <f aca="false">SUMIFS(年单明细!I$6:I$21,年单明细!$A$6:$A$21,"自营",年单明细!$D$6:$D$21,A18)</f>
        <v>704</v>
      </c>
      <c r="D18" s="43" t="n">
        <f aca="false">SUMIFS(年单明细!J$6:J$21,年单明细!$A$6:$A$21,"自营",年单明细!$D$6:$D$21,A18)</f>
        <v>2016</v>
      </c>
      <c r="E18" s="42" t="n">
        <f aca="false">SUMIFS(年单明细!K$6:K$21,年单明细!$A$6:$A$21,"自营",年单明细!$D$6:$D$21,A18)</f>
        <v>3072</v>
      </c>
      <c r="F18" s="42" t="n">
        <f aca="false">SUMIFS(年单明细!L$6:L$21,年单明细!$A$6:$A$21,"自营",年单明细!$D$6:$D$21,A18)</f>
        <v>4128</v>
      </c>
      <c r="G18" s="42" t="n">
        <f aca="false">SUMIFS(年单明细!M$6:M$21,年单明细!$A$6:$A$21,"自营",年单明细!$D$6:$D$21,A18)</f>
        <v>4896</v>
      </c>
      <c r="H18" s="42" t="n">
        <f aca="false">SUMIFS(年单明细!N$6:N$21,年单明细!$A$6:$A$21,"自营",年单明细!$D$6:$D$21,A18)</f>
        <v>5664</v>
      </c>
      <c r="I18" s="42" t="n">
        <f aca="false">SUMIFS(年单明细!O$6:O$21,年单明细!$A$6:$A$21,"自营",年单明细!$D$6:$D$21,A18)</f>
        <v>6432</v>
      </c>
      <c r="J18" s="44" t="n">
        <f aca="false">SUM(B18:I18)</f>
        <v>27072</v>
      </c>
      <c r="K18" s="24" t="n">
        <f aca="false">IF(D21=0,0,D18/D21)</f>
        <v>0.48</v>
      </c>
    </row>
    <row r="19" customFormat="false" ht="15" hidden="false" customHeight="true" outlineLevel="0" collapsed="false">
      <c r="A19" s="56" t="s">
        <v>180</v>
      </c>
      <c r="B19" s="42" t="n">
        <f aca="false">SUMIFS(年单明细!H$6:H$21,年单明细!$A$6:$A$21,"自营",年单明细!$D$6:$D$21,A19)</f>
        <v>90</v>
      </c>
      <c r="C19" s="42" t="n">
        <f aca="false">SUMIFS(年单明细!I$6:I$21,年单明细!$A$6:$A$21,"自营",年单明细!$D$6:$D$21,A19)</f>
        <v>396</v>
      </c>
      <c r="D19" s="43" t="n">
        <f aca="false">SUMIFS(年单明细!J$6:J$21,年单明细!$A$6:$A$21,"自营",年单明细!$D$6:$D$21,A19)</f>
        <v>588</v>
      </c>
      <c r="E19" s="42" t="n">
        <f aca="false">SUMIFS(年单明细!K$6:K$21,年单明细!$A$6:$A$21,"自营",年单明细!$D$6:$D$21,A19)</f>
        <v>896</v>
      </c>
      <c r="F19" s="42" t="n">
        <f aca="false">SUMIFS(年单明细!L$6:L$21,年单明细!$A$6:$A$21,"自营",年单明细!$D$6:$D$21,A19)</f>
        <v>1204</v>
      </c>
      <c r="G19" s="42" t="n">
        <f aca="false">SUMIFS(年单明细!M$6:M$21,年单明细!$A$6:$A$21,"自营",年单明细!$D$6:$D$21,A19)</f>
        <v>1428</v>
      </c>
      <c r="H19" s="42" t="n">
        <f aca="false">SUMIFS(年单明细!N$6:N$21,年单明细!$A$6:$A$21,"自营",年单明细!$D$6:$D$21,A19)</f>
        <v>1652</v>
      </c>
      <c r="I19" s="42" t="n">
        <f aca="false">SUMIFS(年单明细!O$6:O$21,年单明细!$A$6:$A$21,"自营",年单明细!$D$6:$D$21,A19)</f>
        <v>1876</v>
      </c>
      <c r="J19" s="44" t="n">
        <f aca="false">SUM(B19:I19)</f>
        <v>8130</v>
      </c>
      <c r="K19" s="24" t="n">
        <f aca="false">IF(D21=0,0,D19/D21)</f>
        <v>0.14</v>
      </c>
    </row>
    <row r="20" customFormat="false" ht="15" hidden="false" customHeight="true" outlineLevel="0" collapsed="false">
      <c r="A20" s="56" t="s">
        <v>173</v>
      </c>
      <c r="B20" s="42" t="n">
        <f aca="false">SUMIFS(年单明细!H$6:H$21,年单明细!$A$6:$A$21,"自营",年单明细!$D$6:$D$21,A20)</f>
        <v>60</v>
      </c>
      <c r="C20" s="42" t="n">
        <f aca="false">SUMIFS(年单明细!I$6:I$21,年单明细!$A$6:$A$21,"自营",年单明细!$D$6:$D$21,A20)</f>
        <v>264</v>
      </c>
      <c r="D20" s="43" t="n">
        <f aca="false">SUMIFS(年单明细!J$6:J$21,年单明细!$A$6:$A$21,"自营",年单明细!$D$6:$D$21,A20)</f>
        <v>336</v>
      </c>
      <c r="E20" s="42" t="n">
        <f aca="false">SUMIFS(年单明细!K$6:K$21,年单明细!$A$6:$A$21,"自营",年单明细!$D$6:$D$21,A20)</f>
        <v>512</v>
      </c>
      <c r="F20" s="42" t="n">
        <f aca="false">SUMIFS(年单明细!L$6:L$21,年单明细!$A$6:$A$21,"自营",年单明细!$D$6:$D$21,A20)</f>
        <v>688</v>
      </c>
      <c r="G20" s="42" t="n">
        <f aca="false">SUMIFS(年单明细!M$6:M$21,年单明细!$A$6:$A$21,"自营",年单明细!$D$6:$D$21,A20)</f>
        <v>816</v>
      </c>
      <c r="H20" s="42" t="n">
        <f aca="false">SUMIFS(年单明细!N$6:N$21,年单明细!$A$6:$A$21,"自营",年单明细!$D$6:$D$21,A20)</f>
        <v>944</v>
      </c>
      <c r="I20" s="42" t="n">
        <f aca="false">SUMIFS(年单明细!O$6:O$21,年单明细!$A$6:$A$21,"自营",年单明细!$D$6:$D$21,A20)</f>
        <v>1072</v>
      </c>
      <c r="J20" s="44" t="n">
        <f aca="false">SUM(B20:I20)</f>
        <v>4692</v>
      </c>
      <c r="K20" s="24" t="n">
        <f aca="false">IF(D21=0,0,D20/D21)</f>
        <v>0.08</v>
      </c>
    </row>
    <row r="21" customFormat="false" ht="15" hidden="false" customHeight="true" outlineLevel="0" collapsed="false">
      <c r="A21" s="59" t="s">
        <v>204</v>
      </c>
      <c r="B21" s="15" t="n">
        <f aca="false">SUM(B16:B20)</f>
        <v>500</v>
      </c>
      <c r="C21" s="15" t="n">
        <f aca="false">SUM(C16:C20)</f>
        <v>2200</v>
      </c>
      <c r="D21" s="15" t="n">
        <f aca="false">SUM(D16:D20)</f>
        <v>4200</v>
      </c>
      <c r="E21" s="15" t="n">
        <f aca="false">SUM(E16:E20)</f>
        <v>6400</v>
      </c>
      <c r="F21" s="15" t="n">
        <f aca="false">SUM(F16:F20)</f>
        <v>8600</v>
      </c>
      <c r="G21" s="15" t="n">
        <f aca="false">SUM(G16:G20)</f>
        <v>10200</v>
      </c>
      <c r="H21" s="15" t="n">
        <f aca="false">SUM(H16:H20)</f>
        <v>11800</v>
      </c>
      <c r="I21" s="15" t="n">
        <f aca="false">SUM(I16:I20)</f>
        <v>13400</v>
      </c>
      <c r="J21" s="15" t="n">
        <f aca="false">SUM(J16:J20)</f>
        <v>57300</v>
      </c>
      <c r="K21" s="64" t="n">
        <f aca="false">IF(D21=0,0,D21/D21)</f>
        <v>1</v>
      </c>
    </row>
    <row r="24" customFormat="false" ht="16.5" hidden="false" customHeight="true" outlineLevel="0" collapsed="false">
      <c r="A24" s="4" t="s">
        <v>206</v>
      </c>
    </row>
    <row r="25" customFormat="false" ht="15" hidden="false" customHeight="true" outlineLevel="0" collapsed="false">
      <c r="A25" s="5" t="s">
        <v>150</v>
      </c>
      <c r="B25" s="5" t="s">
        <v>31</v>
      </c>
      <c r="C25" s="5" t="s">
        <v>32</v>
      </c>
      <c r="D25" s="5" t="s">
        <v>33</v>
      </c>
      <c r="E25" s="5" t="s">
        <v>34</v>
      </c>
      <c r="F25" s="5" t="s">
        <v>35</v>
      </c>
      <c r="G25" s="5" t="s">
        <v>36</v>
      </c>
      <c r="H25" s="5" t="s">
        <v>37</v>
      </c>
      <c r="I25" s="5" t="s">
        <v>38</v>
      </c>
      <c r="J25" s="32" t="s">
        <v>96</v>
      </c>
      <c r="K25" s="5" t="s">
        <v>203</v>
      </c>
    </row>
    <row r="26" customFormat="false" ht="15" hidden="false" customHeight="true" outlineLevel="0" collapsed="false">
      <c r="A26" s="8" t="s">
        <v>158</v>
      </c>
      <c r="B26" s="65" t="n">
        <f aca="false">B6+B16</f>
        <v>968</v>
      </c>
      <c r="C26" s="65" t="n">
        <f aca="false">C6+C16</f>
        <v>3942</v>
      </c>
      <c r="D26" s="66" t="n">
        <f aca="false">D6+D16</f>
        <v>13632</v>
      </c>
      <c r="E26" s="65" t="n">
        <f aca="false">E6+E16</f>
        <v>18700</v>
      </c>
      <c r="F26" s="65" t="n">
        <f aca="false">F6+F16</f>
        <v>23716</v>
      </c>
      <c r="G26" s="65" t="n">
        <f aca="false">G6+G16</f>
        <v>28040</v>
      </c>
      <c r="H26" s="65" t="n">
        <f aca="false">H6+H16</f>
        <v>32520</v>
      </c>
      <c r="I26" s="65" t="n">
        <f aca="false">I6+I16</f>
        <v>37000</v>
      </c>
      <c r="J26" s="65" t="n">
        <f aca="false">J6+J16</f>
        <v>158518</v>
      </c>
      <c r="K26" s="67" t="n">
        <f aca="false">IF(D31=0,0,D26/D31)</f>
        <v>0.473333333333333</v>
      </c>
    </row>
    <row r="27" customFormat="false" ht="15" hidden="false" customHeight="true" outlineLevel="0" collapsed="false">
      <c r="A27" s="8" t="s">
        <v>163</v>
      </c>
      <c r="B27" s="65" t="n">
        <f aca="false">B7+B17</f>
        <v>1862</v>
      </c>
      <c r="C27" s="65" t="n">
        <f aca="false">C7+C17</f>
        <v>7534</v>
      </c>
      <c r="D27" s="66" t="n">
        <f aca="false">D7+D17</f>
        <v>8784</v>
      </c>
      <c r="E27" s="65" t="n">
        <f aca="false">E7+E17</f>
        <v>12030</v>
      </c>
      <c r="F27" s="65" t="n">
        <f aca="false">F7+F17</f>
        <v>15242</v>
      </c>
      <c r="G27" s="65" t="n">
        <f aca="false">G7+G17</f>
        <v>18020</v>
      </c>
      <c r="H27" s="65" t="n">
        <f aca="false">H7+H17</f>
        <v>20900</v>
      </c>
      <c r="I27" s="65" t="n">
        <f aca="false">I7+I17</f>
        <v>23780</v>
      </c>
      <c r="J27" s="65" t="n">
        <f aca="false">J7+J17</f>
        <v>108152</v>
      </c>
      <c r="K27" s="67" t="n">
        <f aca="false">IF(D31=0,0,D27/D31)</f>
        <v>0.305</v>
      </c>
    </row>
    <row r="28" customFormat="false" ht="15" hidden="false" customHeight="true" outlineLevel="0" collapsed="false">
      <c r="A28" s="8" t="s">
        <v>177</v>
      </c>
      <c r="B28" s="65" t="n">
        <f aca="false">B8+B18</f>
        <v>556</v>
      </c>
      <c r="C28" s="65" t="n">
        <f aca="false">C8+C18</f>
        <v>2300</v>
      </c>
      <c r="D28" s="66" t="n">
        <f aca="false">D8+D18</f>
        <v>4476</v>
      </c>
      <c r="E28" s="65" t="n">
        <f aca="false">E8+E18</f>
        <v>6422</v>
      </c>
      <c r="F28" s="65" t="n">
        <f aca="false">F8+F18</f>
        <v>8358</v>
      </c>
      <c r="G28" s="65" t="n">
        <f aca="false">G8+G18</f>
        <v>9896</v>
      </c>
      <c r="H28" s="65" t="n">
        <f aca="false">H8+H18</f>
        <v>11464</v>
      </c>
      <c r="I28" s="65" t="n">
        <f aca="false">I8+I18</f>
        <v>13032</v>
      </c>
      <c r="J28" s="65" t="n">
        <f aca="false">J8+J18</f>
        <v>56504</v>
      </c>
      <c r="K28" s="67" t="n">
        <f aca="false">IF(D31=0,0,D28/D31)</f>
        <v>0.155416666666667</v>
      </c>
    </row>
    <row r="29" customFormat="false" ht="15" hidden="false" customHeight="true" outlineLevel="0" collapsed="false">
      <c r="A29" s="8" t="s">
        <v>180</v>
      </c>
      <c r="B29" s="65" t="n">
        <f aca="false">B9+B19</f>
        <v>90</v>
      </c>
      <c r="C29" s="65" t="n">
        <f aca="false">C9+C19</f>
        <v>396</v>
      </c>
      <c r="D29" s="66" t="n">
        <f aca="false">D9+D19</f>
        <v>588</v>
      </c>
      <c r="E29" s="65" t="n">
        <f aca="false">E9+E19</f>
        <v>896</v>
      </c>
      <c r="F29" s="65" t="n">
        <f aca="false">F9+F19</f>
        <v>1204</v>
      </c>
      <c r="G29" s="65" t="n">
        <f aca="false">G9+G19</f>
        <v>1428</v>
      </c>
      <c r="H29" s="65" t="n">
        <f aca="false">H9+H19</f>
        <v>1652</v>
      </c>
      <c r="I29" s="65" t="n">
        <f aca="false">I9+I19</f>
        <v>1876</v>
      </c>
      <c r="J29" s="65" t="n">
        <f aca="false">J9+J19</f>
        <v>8130</v>
      </c>
      <c r="K29" s="67" t="n">
        <f aca="false">IF(D31=0,0,D29/D31)</f>
        <v>0.0204166666666667</v>
      </c>
    </row>
    <row r="30" customFormat="false" ht="15" hidden="false" customHeight="true" outlineLevel="0" collapsed="false">
      <c r="A30" s="8" t="s">
        <v>173</v>
      </c>
      <c r="B30" s="65" t="n">
        <f aca="false">B10+B20</f>
        <v>324</v>
      </c>
      <c r="C30" s="65" t="n">
        <f aca="false">C10+C20</f>
        <v>1328</v>
      </c>
      <c r="D30" s="66" t="n">
        <f aca="false">D10+D20</f>
        <v>1320</v>
      </c>
      <c r="E30" s="65" t="n">
        <f aca="false">E10+E20</f>
        <v>1852</v>
      </c>
      <c r="F30" s="65" t="n">
        <f aca="false">F10+F20</f>
        <v>2380</v>
      </c>
      <c r="G30" s="65" t="n">
        <f aca="false">G10+G20</f>
        <v>2816</v>
      </c>
      <c r="H30" s="65" t="n">
        <f aca="false">H10+H20</f>
        <v>3264</v>
      </c>
      <c r="I30" s="65" t="n">
        <f aca="false">I10+I20</f>
        <v>3712</v>
      </c>
      <c r="J30" s="65" t="n">
        <f aca="false">J10+J20</f>
        <v>16996</v>
      </c>
      <c r="K30" s="67" t="n">
        <f aca="false">IF(D31=0,0,D30/D31)</f>
        <v>0.0458333333333333</v>
      </c>
    </row>
    <row r="31" customFormat="false" ht="15" hidden="false" customHeight="true" outlineLevel="0" collapsed="false">
      <c r="A31" s="59" t="s">
        <v>39</v>
      </c>
      <c r="B31" s="15" t="n">
        <f aca="false">SUM(B26:B30)</f>
        <v>3800</v>
      </c>
      <c r="C31" s="15" t="n">
        <f aca="false">SUM(C26:C30)</f>
        <v>15500</v>
      </c>
      <c r="D31" s="15" t="n">
        <f aca="false">SUM(D26:D30)</f>
        <v>28800</v>
      </c>
      <c r="E31" s="15" t="n">
        <f aca="false">SUM(E26:E30)</f>
        <v>39900</v>
      </c>
      <c r="F31" s="15" t="n">
        <f aca="false">SUM(F26:F30)</f>
        <v>50900</v>
      </c>
      <c r="G31" s="15" t="n">
        <f aca="false">SUM(G26:G30)</f>
        <v>60200</v>
      </c>
      <c r="H31" s="15" t="n">
        <f aca="false">SUM(H26:H30)</f>
        <v>69800</v>
      </c>
      <c r="I31" s="15" t="n">
        <f aca="false">SUM(I26:I30)</f>
        <v>79400</v>
      </c>
      <c r="J31" s="15" t="n">
        <f aca="false">SUM(J26:J30)</f>
        <v>348300</v>
      </c>
      <c r="K31" s="64" t="n">
        <f aca="false">1</f>
        <v>1</v>
      </c>
    </row>
    <row r="33" customFormat="false" ht="13.5" hidden="false" customHeight="true" outlineLevel="0" collapsed="false">
      <c r="A33" s="3" t="s">
        <v>207</v>
      </c>
      <c r="B33" s="3"/>
      <c r="C33" s="3"/>
      <c r="D33" s="3"/>
      <c r="E33" s="3"/>
      <c r="F33" s="3"/>
      <c r="G33" s="3"/>
      <c r="H33" s="3"/>
      <c r="I33" s="3"/>
      <c r="J33" s="3"/>
      <c r="K33" s="3"/>
    </row>
  </sheetData>
  <mergeCells count="3">
    <mergeCell ref="A1:K1"/>
    <mergeCell ref="A2:K2"/>
    <mergeCell ref="A33:K33"/>
  </mergeCell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&amp;L测算数据不构成收益承诺&amp;R按客户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7A3226"/>
    <pageSetUpPr fitToPage="true"/>
  </sheetPr>
  <dimension ref="A1:G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171875" defaultRowHeight="15" customHeight="false" zeroHeight="false" outlineLevelRow="0" outlineLevelCol="0"/>
  <cols>
    <col collapsed="false" customWidth="true" hidden="false" outlineLevel="0" max="1" min="1" style="1" width="26"/>
    <col collapsed="false" customWidth="true" hidden="false" outlineLevel="0" max="3" min="2" style="1" width="12"/>
    <col collapsed="false" customWidth="true" hidden="false" outlineLevel="0" max="4" min="4" style="1" width="20"/>
    <col collapsed="false" customWidth="true" hidden="false" outlineLevel="0" max="6" min="5" style="1" width="10"/>
    <col collapsed="false" customWidth="true" hidden="false" outlineLevel="0" max="7" min="7" style="1" width="46"/>
  </cols>
  <sheetData>
    <row r="1" customFormat="false" ht="21" hidden="false" customHeight="true" outlineLevel="0" collapsed="false">
      <c r="A1" s="2" t="s">
        <v>212</v>
      </c>
      <c r="B1" s="2"/>
      <c r="C1" s="2"/>
      <c r="D1" s="2"/>
      <c r="E1" s="2"/>
      <c r="F1" s="2"/>
    </row>
    <row r="2" customFormat="false" ht="36" hidden="false" customHeight="true" outlineLevel="0" collapsed="false">
      <c r="A2" s="50" t="s">
        <v>213</v>
      </c>
      <c r="B2" s="50"/>
      <c r="C2" s="50"/>
      <c r="D2" s="50"/>
      <c r="E2" s="50"/>
      <c r="F2" s="50"/>
    </row>
    <row r="3" customFormat="false" ht="15" hidden="false" customHeight="true" outlineLevel="0" collapsed="false">
      <c r="A3" s="50"/>
      <c r="B3" s="50"/>
      <c r="C3" s="50"/>
      <c r="D3" s="50"/>
      <c r="E3" s="50"/>
      <c r="F3" s="50"/>
    </row>
    <row r="4" customFormat="false" ht="15" hidden="false" customHeight="true" outlineLevel="0" collapsed="false">
      <c r="A4" s="4" t="s">
        <v>214</v>
      </c>
    </row>
    <row r="5" customFormat="false" ht="15" hidden="false" customHeight="true" outlineLevel="0" collapsed="false">
      <c r="A5" s="5" t="s">
        <v>149</v>
      </c>
      <c r="B5" s="5" t="s">
        <v>102</v>
      </c>
      <c r="C5" s="5" t="s">
        <v>103</v>
      </c>
      <c r="D5" s="5" t="s">
        <v>104</v>
      </c>
      <c r="E5" s="5" t="s">
        <v>39</v>
      </c>
      <c r="F5" s="5" t="s">
        <v>191</v>
      </c>
      <c r="G5" s="5" t="s">
        <v>6</v>
      </c>
    </row>
    <row r="6" customFormat="false" ht="15" hidden="false" customHeight="true" outlineLevel="0" collapsed="false">
      <c r="A6" s="68" t="s">
        <v>157</v>
      </c>
      <c r="B6" s="10" t="n">
        <v>0.18</v>
      </c>
      <c r="C6" s="10" t="n">
        <v>0.64</v>
      </c>
      <c r="D6" s="10" t="n">
        <v>0.18</v>
      </c>
      <c r="E6" s="69" t="n">
        <f aca="false">B6+C6+D6</f>
        <v>1</v>
      </c>
      <c r="F6" s="70" t="str">
        <f aca="false">IF(ABS(E6-1)&lt;0.001,"齐","未对齐")</f>
        <v>齐</v>
      </c>
      <c r="G6" s="49" t="s">
        <v>215</v>
      </c>
    </row>
    <row r="7" customFormat="false" ht="15" hidden="false" customHeight="true" outlineLevel="0" collapsed="false">
      <c r="A7" s="68" t="s">
        <v>160</v>
      </c>
      <c r="B7" s="10" t="n">
        <v>0.48</v>
      </c>
      <c r="C7" s="10" t="n">
        <v>0.32</v>
      </c>
      <c r="D7" s="10" t="n">
        <v>0.2</v>
      </c>
      <c r="E7" s="69" t="n">
        <f aca="false">B7+C7+D7</f>
        <v>1</v>
      </c>
      <c r="F7" s="70" t="str">
        <f aca="false">IF(ABS(E7-1)&lt;0.001,"齐","未对齐")</f>
        <v>齐</v>
      </c>
      <c r="G7" s="49" t="s">
        <v>216</v>
      </c>
    </row>
    <row r="8" customFormat="false" ht="15" hidden="false" customHeight="true" outlineLevel="0" collapsed="false">
      <c r="A8" s="68" t="s">
        <v>162</v>
      </c>
      <c r="B8" s="10" t="n">
        <v>0.62</v>
      </c>
      <c r="C8" s="10" t="n">
        <v>0.16</v>
      </c>
      <c r="D8" s="10" t="n">
        <v>0.22</v>
      </c>
      <c r="E8" s="69" t="n">
        <f aca="false">B8+C8+D8</f>
        <v>1</v>
      </c>
      <c r="F8" s="70" t="str">
        <f aca="false">IF(ABS(E8-1)&lt;0.001,"齐","未对齐")</f>
        <v>齐</v>
      </c>
      <c r="G8" s="49" t="s">
        <v>217</v>
      </c>
    </row>
    <row r="9" customFormat="false" ht="15" hidden="false" customHeight="true" outlineLevel="0" collapsed="false">
      <c r="A9" s="68" t="s">
        <v>172</v>
      </c>
      <c r="B9" s="10" t="n">
        <v>0.68</v>
      </c>
      <c r="C9" s="10" t="n">
        <v>0.12</v>
      </c>
      <c r="D9" s="10" t="n">
        <v>0.2</v>
      </c>
      <c r="E9" s="69" t="n">
        <f aca="false">B9+C9+D9</f>
        <v>1</v>
      </c>
      <c r="F9" s="70" t="str">
        <f aca="false">IF(ABS(E9-1)&lt;0.001,"齐","未对齐")</f>
        <v>齐</v>
      </c>
      <c r="G9" s="49" t="s">
        <v>218</v>
      </c>
    </row>
    <row r="10" customFormat="false" ht="15" hidden="false" customHeight="true" outlineLevel="0" collapsed="false">
      <c r="A10" s="68" t="s">
        <v>168</v>
      </c>
      <c r="B10" s="10" t="n">
        <v>0.08</v>
      </c>
      <c r="C10" s="10" t="n">
        <v>0.52</v>
      </c>
      <c r="D10" s="10" t="n">
        <v>0.4</v>
      </c>
      <c r="E10" s="69" t="n">
        <f aca="false">B10+C10+D10</f>
        <v>1</v>
      </c>
      <c r="F10" s="70" t="str">
        <f aca="false">IF(ABS(E10-1)&lt;0.001,"齐","未对齐")</f>
        <v>齐</v>
      </c>
      <c r="G10" s="49" t="s">
        <v>219</v>
      </c>
    </row>
    <row r="12" customFormat="false" ht="15" hidden="false" customHeight="true" outlineLevel="0" collapsed="false">
      <c r="A12" s="4" t="s">
        <v>220</v>
      </c>
    </row>
    <row r="13" customFormat="false" ht="55.5" hidden="false" customHeight="true" outlineLevel="0" collapsed="false">
      <c r="A13" s="17" t="s">
        <v>221</v>
      </c>
      <c r="B13" s="17"/>
      <c r="C13" s="17"/>
      <c r="D13" s="17"/>
      <c r="E13" s="17"/>
      <c r="F13" s="17"/>
      <c r="G13" s="17"/>
    </row>
    <row r="14" customFormat="false" ht="15" hidden="false" customHeight="true" outlineLevel="0" collapsed="false">
      <c r="A14" s="17"/>
      <c r="B14" s="17"/>
      <c r="C14" s="17"/>
      <c r="D14" s="17"/>
      <c r="E14" s="17"/>
      <c r="F14" s="17"/>
      <c r="G14" s="17"/>
    </row>
    <row r="15" customFormat="false" ht="15" hidden="false" customHeight="true" outlineLevel="0" collapsed="false">
      <c r="A15" s="17"/>
      <c r="B15" s="17"/>
      <c r="C15" s="17"/>
      <c r="D15" s="17"/>
      <c r="E15" s="17"/>
      <c r="F15" s="17"/>
      <c r="G15" s="17"/>
    </row>
    <row r="16" customFormat="false" ht="15" hidden="false" customHeight="true" outlineLevel="0" collapsed="false">
      <c r="A16" s="17"/>
      <c r="B16" s="17"/>
      <c r="C16" s="17"/>
      <c r="D16" s="17"/>
      <c r="E16" s="17"/>
      <c r="F16" s="17"/>
      <c r="G16" s="17"/>
    </row>
  </sheetData>
  <mergeCells count="3">
    <mergeCell ref="A1:F1"/>
    <mergeCell ref="A2:F3"/>
    <mergeCell ref="A13:G16"/>
  </mergeCell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&amp;L测算数据不构成收益承诺&amp;R产品结构</oddFooter>
  </headerFooter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6304F"/>
    <pageSetUpPr fitToPage="true"/>
  </sheetPr>
  <dimension ref="A1:K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171875" defaultRowHeight="15" customHeight="false" zeroHeight="false" outlineLevelRow="0" outlineLevelCol="0"/>
  <cols>
    <col collapsed="false" customWidth="true" hidden="false" outlineLevel="0" max="1" min="1" style="1" width="36"/>
    <col collapsed="false" customWidth="true" hidden="false" outlineLevel="0" max="9" min="2" style="1" width="12"/>
    <col collapsed="false" customWidth="true" hidden="false" outlineLevel="0" max="10" min="10" style="1" width="13"/>
    <col collapsed="false" customWidth="true" hidden="false" outlineLevel="0" max="11" min="11" style="1" width="14"/>
  </cols>
  <sheetData>
    <row r="1" customFormat="false" ht="21" hidden="false" customHeight="true" outlineLevel="0" collapsed="false">
      <c r="A1" s="2" t="s">
        <v>222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customFormat="false" ht="13.5" hidden="false" customHeight="true" outlineLevel="0" collapsed="false">
      <c r="A2" s="3" t="s">
        <v>223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customFormat="false" ht="16.5" hidden="false" customHeight="true" outlineLevel="0" collapsed="false">
      <c r="A4" s="4" t="s">
        <v>224</v>
      </c>
    </row>
    <row r="5" customFormat="false" ht="15" hidden="false" customHeight="true" outlineLevel="0" collapsed="false">
      <c r="A5" s="5" t="s">
        <v>100</v>
      </c>
      <c r="B5" s="5" t="s">
        <v>31</v>
      </c>
      <c r="C5" s="5" t="s">
        <v>32</v>
      </c>
      <c r="D5" s="5" t="s">
        <v>33</v>
      </c>
      <c r="E5" s="5" t="s">
        <v>34</v>
      </c>
      <c r="F5" s="5" t="s">
        <v>35</v>
      </c>
      <c r="G5" s="5" t="s">
        <v>36</v>
      </c>
      <c r="H5" s="5" t="s">
        <v>37</v>
      </c>
      <c r="I5" s="5" t="s">
        <v>38</v>
      </c>
      <c r="J5" s="32" t="s">
        <v>96</v>
      </c>
      <c r="K5" s="5" t="s">
        <v>203</v>
      </c>
    </row>
    <row r="6" customFormat="false" ht="15" hidden="false" customHeight="true" outlineLevel="0" collapsed="false">
      <c r="A6" s="52" t="s">
        <v>102</v>
      </c>
      <c r="B6" s="42" t="n">
        <f aca="false">ROUND(按场景!B6*假设!B49*INDEX(产品结构!$B$6:$B$10,MATCH(按场景!$A6,产品结构!$A$6:$A$10,0)),0)+ROUND(按场景!B7*假设!B49*INDEX(产品结构!$B$6:$B$10,MATCH(按场景!$A7,产品结构!$A$6:$A$10,0)),0)+ROUND(按场景!B8*假设!B49*INDEX(产品结构!$B$6:$B$10,MATCH(按场景!$A8,产品结构!$A$6:$A$10,0)),0)+ROUND(按场景!B9*假设!B49*INDEX(产品结构!$B$6:$B$10,MATCH(按场景!$A9,产品结构!$A$6:$A$10,0)),0)+ROUND(按场景!B10*假设!B49*INDEX(产品结构!$B$6:$B$10,MATCH(按场景!$A10,产品结构!$A$6:$A$10,0)),0)</f>
        <v>441</v>
      </c>
      <c r="C6" s="42" t="n">
        <f aca="false">ROUND(按场景!C6*假设!C49*INDEX(产品结构!$B$6:$B$10,MATCH(按场景!$A6,产品结构!$A$6:$A$10,0)),0)+ROUND(按场景!C7*假设!C49*INDEX(产品结构!$B$6:$B$10,MATCH(按场景!$A7,产品结构!$A$6:$A$10,0)),0)+ROUND(按场景!C8*假设!C49*INDEX(产品结构!$B$6:$B$10,MATCH(按场景!$A8,产品结构!$A$6:$A$10,0)),0)+ROUND(按场景!C9*假设!C49*INDEX(产品结构!$B$6:$B$10,MATCH(按场景!$A9,产品结构!$A$6:$A$10,0)),0)+ROUND(按场景!C10*假设!C49*INDEX(产品结构!$B$6:$B$10,MATCH(按场景!$A10,产品结构!$A$6:$A$10,0)),0)</f>
        <v>1876</v>
      </c>
      <c r="D6" s="43" t="n">
        <f aca="false">ROUND(按场景!D6*假设!D49*INDEX(产品结构!$B$6:$B$10,MATCH(按场景!$A6,产品结构!$A$6:$A$10,0)),0)+ROUND(按场景!D7*假设!D49*INDEX(产品结构!$B$6:$B$10,MATCH(按场景!$A7,产品结构!$A$6:$A$10,0)),0)+ROUND(按场景!D8*假设!D49*INDEX(产品结构!$B$6:$B$10,MATCH(按场景!$A8,产品结构!$A$6:$A$10,0)),0)+ROUND(按场景!D9*假设!D49*INDEX(产品结构!$B$6:$B$10,MATCH(按场景!$A9,产品结构!$A$6:$A$10,0)),0)+ROUND(按场景!D10*假设!D49*INDEX(产品结构!$B$6:$B$10,MATCH(按场景!$A10,产品结构!$A$6:$A$10,0)),0)</f>
        <v>2966</v>
      </c>
      <c r="E6" s="42" t="n">
        <f aca="false">ROUND(按场景!E6*假设!E49*INDEX(产品结构!$B$6:$B$10,MATCH(按场景!$A6,产品结构!$A$6:$A$10,0)),0)+ROUND(按场景!E7*假设!E49*INDEX(产品结构!$B$6:$B$10,MATCH(按场景!$A7,产品结构!$A$6:$A$10,0)),0)+ROUND(按场景!E8*假设!E49*INDEX(产品结构!$B$6:$B$10,MATCH(按场景!$A8,产品结构!$A$6:$A$10,0)),0)+ROUND(按场景!E9*假设!E49*INDEX(产品结构!$B$6:$B$10,MATCH(按场景!$A9,产品结构!$A$6:$A$10,0)),0)+ROUND(按场景!E10*假设!E49*INDEX(产品结构!$B$6:$B$10,MATCH(按场景!$A10,产品结构!$A$6:$A$10,0)),0)</f>
        <v>4250</v>
      </c>
      <c r="F6" s="42" t="n">
        <f aca="false">ROUND(按场景!F6*假设!F49*INDEX(产品结构!$B$6:$B$10,MATCH(按场景!$A6,产品结构!$A$6:$A$10,0)),0)+ROUND(按场景!F7*假设!F49*INDEX(产品结构!$B$6:$B$10,MATCH(按场景!$A7,产品结构!$A$6:$A$10,0)),0)+ROUND(按场景!F8*假设!F49*INDEX(产品结构!$B$6:$B$10,MATCH(按场景!$A8,产品结构!$A$6:$A$10,0)),0)+ROUND(按场景!F9*假设!F49*INDEX(产品结构!$B$6:$B$10,MATCH(按场景!$A9,产品结构!$A$6:$A$10,0)),0)+ROUND(按场景!F10*假设!F49*INDEX(产品结构!$B$6:$B$10,MATCH(按场景!$A10,产品结构!$A$6:$A$10,0)),0)</f>
        <v>5635</v>
      </c>
      <c r="G6" s="42" t="n">
        <f aca="false">ROUND(按场景!G6*假设!G49*INDEX(产品结构!$B$6:$B$10,MATCH(按场景!$A6,产品结构!$A$6:$A$10,0)),0)+ROUND(按场景!G7*假设!G49*INDEX(产品结构!$B$6:$B$10,MATCH(按场景!$A7,产品结构!$A$6:$A$10,0)),0)+ROUND(按场景!G8*假设!G49*INDEX(产品结构!$B$6:$B$10,MATCH(按场景!$A8,产品结构!$A$6:$A$10,0)),0)+ROUND(按场景!G9*假设!G49*INDEX(产品结构!$B$6:$B$10,MATCH(按场景!$A9,产品结构!$A$6:$A$10,0)),0)+ROUND(按场景!G10*假设!G49*INDEX(产品结构!$B$6:$B$10,MATCH(按场景!$A10,产品结构!$A$6:$A$10,0)),0)</f>
        <v>6819</v>
      </c>
      <c r="H6" s="42" t="n">
        <f aca="false">ROUND(按场景!H6*假设!H49*INDEX(产品结构!$B$6:$B$10,MATCH(按场景!$A6,产品结构!$A$6:$A$10,0)),0)+ROUND(按场景!H7*假设!H49*INDEX(产品结构!$B$6:$B$10,MATCH(按场景!$A7,产品结构!$A$6:$A$10,0)),0)+ROUND(按场景!H8*假设!H49*INDEX(产品结构!$B$6:$B$10,MATCH(按场景!$A8,产品结构!$A$6:$A$10,0)),0)+ROUND(按场景!H9*假设!H49*INDEX(产品结构!$B$6:$B$10,MATCH(按场景!$A9,产品结构!$A$6:$A$10,0)),0)+ROUND(按场景!H10*假设!H49*INDEX(产品结构!$B$6:$B$10,MATCH(按场景!$A10,产品结构!$A$6:$A$10,0)),0)</f>
        <v>8095</v>
      </c>
      <c r="I6" s="42" t="n">
        <f aca="false">ROUND(按场景!I6*假设!I49*INDEX(产品结构!$B$6:$B$10,MATCH(按场景!$A6,产品结构!$A$6:$A$10,0)),0)+ROUND(按场景!I7*假设!I49*INDEX(产品结构!$B$6:$B$10,MATCH(按场景!$A7,产品结构!$A$6:$A$10,0)),0)+ROUND(按场景!I8*假设!I49*INDEX(产品结构!$B$6:$B$10,MATCH(按场景!$A8,产品结构!$A$6:$A$10,0)),0)+ROUND(按场景!I9*假设!I49*INDEX(产品结构!$B$6:$B$10,MATCH(按场景!$A9,产品结构!$A$6:$A$10,0)),0)+ROUND(按场景!I10*假设!I49*INDEX(产品结构!$B$6:$B$10,MATCH(按场景!$A10,产品结构!$A$6:$A$10,0)),0)</f>
        <v>9211</v>
      </c>
      <c r="J6" s="44" t="n">
        <f aca="false">SUM(B6:I6)</f>
        <v>39293</v>
      </c>
      <c r="K6" s="24" t="n">
        <f aca="false">IF(D9=0,0,D6/D9)</f>
        <v>0.317219251336898</v>
      </c>
    </row>
    <row r="7" customFormat="false" ht="15" hidden="false" customHeight="true" outlineLevel="0" collapsed="false">
      <c r="A7" s="52" t="s">
        <v>103</v>
      </c>
      <c r="B7" s="42" t="n">
        <f aca="false">ROUND(按场景!B6*假设!B49*INDEX(产品结构!$C$6:$C$10,MATCH(按场景!$A6,产品结构!$A$6:$A$10,0)),0)+ROUND(按场景!B7*假设!B49*INDEX(产品结构!$C$6:$C$10,MATCH(按场景!$A7,产品结构!$A$6:$A$10,0)),0)+ROUND(按场景!B8*假设!B49*INDEX(产品结构!$C$6:$C$10,MATCH(按场景!$A8,产品结构!$A$6:$A$10,0)),0)+ROUND(按场景!B9*假设!B49*INDEX(产品结构!$C$6:$C$10,MATCH(按场景!$A9,产品结构!$A$6:$A$10,0)),0)+ROUND(按场景!B10*假设!B49*INDEX(产品结构!$C$6:$C$10,MATCH(按场景!$A10,产品结构!$A$6:$A$10,0)),0)</f>
        <v>439</v>
      </c>
      <c r="C7" s="42" t="n">
        <f aca="false">ROUND(按场景!C6*假设!C49*INDEX(产品结构!$C$6:$C$10,MATCH(按场景!$A6,产品结构!$A$6:$A$10,0)),0)+ROUND(按场景!C7*假设!C49*INDEX(产品结构!$C$6:$C$10,MATCH(按场景!$A7,产品结构!$A$6:$A$10,0)),0)+ROUND(按场景!C8*假设!C49*INDEX(产品结构!$C$6:$C$10,MATCH(按场景!$A8,产品结构!$A$6:$A$10,0)),0)+ROUND(按场景!C9*假设!C49*INDEX(产品结构!$C$6:$C$10,MATCH(按场景!$A9,产品结构!$A$6:$A$10,0)),0)+ROUND(按场景!C10*假设!C49*INDEX(产品结构!$C$6:$C$10,MATCH(按场景!$A10,产品结构!$A$6:$A$10,0)),0)</f>
        <v>1874</v>
      </c>
      <c r="D7" s="43" t="n">
        <f aca="false">ROUND(按场景!D6*假设!D49*INDEX(产品结构!$C$6:$C$10,MATCH(按场景!$A6,产品结构!$A$6:$A$10,0)),0)+ROUND(按场景!D7*假设!D49*INDEX(产品结构!$C$6:$C$10,MATCH(按场景!$A7,产品结构!$A$6:$A$10,0)),0)+ROUND(按场景!D8*假设!D49*INDEX(产品结构!$C$6:$C$10,MATCH(按场景!$A8,产品结构!$A$6:$A$10,0)),0)+ROUND(按场景!D9*假设!D49*INDEX(产品结构!$C$6:$C$10,MATCH(按场景!$A9,产品结构!$A$6:$A$10,0)),0)+ROUND(按场景!D10*假设!D49*INDEX(产品结构!$C$6:$C$10,MATCH(按场景!$A10,产品结构!$A$6:$A$10,0)),0)</f>
        <v>4316</v>
      </c>
      <c r="E7" s="42" t="n">
        <f aca="false">ROUND(按场景!E6*假设!E49*INDEX(产品结构!$C$6:$C$10,MATCH(按场景!$A6,产品结构!$A$6:$A$10,0)),0)+ROUND(按场景!E7*假设!E49*INDEX(产品结构!$C$6:$C$10,MATCH(按场景!$A7,产品结构!$A$6:$A$10,0)),0)+ROUND(按场景!E8*假设!E49*INDEX(产品结构!$C$6:$C$10,MATCH(按场景!$A8,产品结构!$A$6:$A$10,0)),0)+ROUND(按场景!E9*假设!E49*INDEX(产品结构!$C$6:$C$10,MATCH(按场景!$A9,产品结构!$A$6:$A$10,0)),0)+ROUND(按场景!E10*假设!E49*INDEX(产品结构!$C$6:$C$10,MATCH(按场景!$A10,产品结构!$A$6:$A$10,0)),0)</f>
        <v>6186</v>
      </c>
      <c r="F7" s="42" t="n">
        <f aca="false">ROUND(按场景!F6*假设!F49*INDEX(产品结构!$C$6:$C$10,MATCH(按场景!$A6,产品结构!$A$6:$A$10,0)),0)+ROUND(按场景!F7*假设!F49*INDEX(产品结构!$C$6:$C$10,MATCH(按场景!$A7,产品结构!$A$6:$A$10,0)),0)+ROUND(按场景!F8*假设!F49*INDEX(产品结构!$C$6:$C$10,MATCH(按场景!$A8,产品结构!$A$6:$A$10,0)),0)+ROUND(按场景!F9*假设!F49*INDEX(产品结构!$C$6:$C$10,MATCH(按场景!$A9,产品结构!$A$6:$A$10,0)),0)+ROUND(按场景!F10*假设!F49*INDEX(产品结构!$C$6:$C$10,MATCH(按场景!$A10,产品结构!$A$6:$A$10,0)),0)</f>
        <v>8200</v>
      </c>
      <c r="G7" s="42" t="n">
        <f aca="false">ROUND(按场景!G6*假设!G49*INDEX(产品结构!$C$6:$C$10,MATCH(按场景!$A6,产品结构!$A$6:$A$10,0)),0)+ROUND(按场景!G7*假设!G49*INDEX(产品结构!$C$6:$C$10,MATCH(按场景!$A7,产品结构!$A$6:$A$10,0)),0)+ROUND(按场景!G8*假设!G49*INDEX(产品结构!$C$6:$C$10,MATCH(按场景!$A8,产品结构!$A$6:$A$10,0)),0)+ROUND(按场景!G9*假设!G49*INDEX(产品结构!$C$6:$C$10,MATCH(按场景!$A9,产品结构!$A$6:$A$10,0)),0)+ROUND(按场景!G10*假设!G49*INDEX(产品结构!$C$6:$C$10,MATCH(按场景!$A10,产品结构!$A$6:$A$10,0)),0)</f>
        <v>9924</v>
      </c>
      <c r="H7" s="42" t="n">
        <f aca="false">ROUND(按场景!H6*假设!H49*INDEX(产品结构!$C$6:$C$10,MATCH(按场景!$A6,产品结构!$A$6:$A$10,0)),0)+ROUND(按场景!H7*假设!H49*INDEX(产品结构!$C$6:$C$10,MATCH(按场景!$A7,产品结构!$A$6:$A$10,0)),0)+ROUND(按场景!H8*假设!H49*INDEX(产品结构!$C$6:$C$10,MATCH(按场景!$A8,产品结构!$A$6:$A$10,0)),0)+ROUND(按场景!H9*假设!H49*INDEX(产品结构!$C$6:$C$10,MATCH(按场景!$A9,产品结构!$A$6:$A$10,0)),0)+ROUND(按场景!H10*假设!H49*INDEX(产品结构!$C$6:$C$10,MATCH(按场景!$A10,产品结构!$A$6:$A$10,0)),0)</f>
        <v>11780</v>
      </c>
      <c r="I7" s="42" t="n">
        <f aca="false">ROUND(按场景!I6*假设!I49*INDEX(产品结构!$C$6:$C$10,MATCH(按场景!$A6,产品结构!$A$6:$A$10,0)),0)+ROUND(按场景!I7*假设!I49*INDEX(产品结构!$C$6:$C$10,MATCH(按场景!$A7,产品结构!$A$6:$A$10,0)),0)+ROUND(按场景!I8*假设!I49*INDEX(产品结构!$C$6:$C$10,MATCH(按场景!$A8,产品结构!$A$6:$A$10,0)),0)+ROUND(按场景!I9*假设!I49*INDEX(产品结构!$C$6:$C$10,MATCH(按场景!$A9,产品结构!$A$6:$A$10,0)),0)+ROUND(按场景!I10*假设!I49*INDEX(产品结构!$C$6:$C$10,MATCH(按场景!$A10,产品结构!$A$6:$A$10,0)),0)</f>
        <v>13405</v>
      </c>
      <c r="J7" s="44" t="n">
        <f aca="false">SUM(B7:I7)</f>
        <v>56124</v>
      </c>
      <c r="K7" s="24" t="n">
        <f aca="false">IF(D9=0,0,D7/D9)</f>
        <v>0.461604278074866</v>
      </c>
    </row>
    <row r="8" customFormat="false" ht="15" hidden="false" customHeight="true" outlineLevel="0" collapsed="false">
      <c r="A8" s="52" t="s">
        <v>104</v>
      </c>
      <c r="B8" s="42" t="n">
        <f aca="false">ROUND(按场景!B6*假设!B49*INDEX(产品结构!$D$6:$D$10,MATCH(按场景!$A6,产品结构!$A$6:$A$10,0)),0)+ROUND(按场景!B7*假设!B49*INDEX(产品结构!$D$6:$D$10,MATCH(按场景!$A7,产品结构!$A$6:$A$10,0)),0)+ROUND(按场景!B8*假设!B49*INDEX(产品结构!$D$6:$D$10,MATCH(按场景!$A8,产品结构!$A$6:$A$10,0)),0)+ROUND(按场景!B9*假设!B49*INDEX(产品结构!$D$6:$D$10,MATCH(按场景!$A9,产品结构!$A$6:$A$10,0)),0)+ROUND(按场景!B10*假设!B49*INDEX(产品结构!$D$6:$D$10,MATCH(按场景!$A10,产品结构!$A$6:$A$10,0)),0)</f>
        <v>244</v>
      </c>
      <c r="C8" s="42" t="n">
        <f aca="false">ROUND(按场景!C6*假设!C49*INDEX(产品结构!$D$6:$D$10,MATCH(按场景!$A6,产品结构!$A$6:$A$10,0)),0)+ROUND(按场景!C7*假设!C49*INDEX(产品结构!$D$6:$D$10,MATCH(按场景!$A7,产品结构!$A$6:$A$10,0)),0)+ROUND(按场景!C8*假设!C49*INDEX(产品结构!$D$6:$D$10,MATCH(按场景!$A8,产品结构!$A$6:$A$10,0)),0)+ROUND(按场景!C9*假设!C49*INDEX(产品结构!$D$6:$D$10,MATCH(按场景!$A9,产品结构!$A$6:$A$10,0)),0)+ROUND(按场景!C10*假设!C49*INDEX(产品结构!$D$6:$D$10,MATCH(按场景!$A10,产品结构!$A$6:$A$10,0)),0)</f>
        <v>1038</v>
      </c>
      <c r="D8" s="43" t="n">
        <f aca="false">ROUND(按场景!D6*假设!D49*INDEX(产品结构!$D$6:$D$10,MATCH(按场景!$A6,产品结构!$A$6:$A$10,0)),0)+ROUND(按场景!D7*假设!D49*INDEX(产品结构!$D$6:$D$10,MATCH(按场景!$A7,产品结构!$A$6:$A$10,0)),0)+ROUND(按场景!D8*假设!D49*INDEX(产品结构!$D$6:$D$10,MATCH(按场景!$A8,产品结构!$A$6:$A$10,0)),0)+ROUND(按场景!D9*假设!D49*INDEX(产品结构!$D$6:$D$10,MATCH(按场景!$A9,产品结构!$A$6:$A$10,0)),0)+ROUND(按场景!D10*假设!D49*INDEX(产品结构!$D$6:$D$10,MATCH(按场景!$A10,产品结构!$A$6:$A$10,0)),0)</f>
        <v>2068</v>
      </c>
      <c r="E8" s="42" t="n">
        <f aca="false">ROUND(按场景!E6*假设!E49*INDEX(产品结构!$D$6:$D$10,MATCH(按场景!$A6,产品结构!$A$6:$A$10,0)),0)+ROUND(按场景!E7*假设!E49*INDEX(产品结构!$D$6:$D$10,MATCH(按场景!$A7,产品结构!$A$6:$A$10,0)),0)+ROUND(按场景!E8*假设!E49*INDEX(产品结构!$D$6:$D$10,MATCH(按场景!$A8,产品结构!$A$6:$A$10,0)),0)+ROUND(按场景!E9*假设!E49*INDEX(产品结构!$D$6:$D$10,MATCH(按场景!$A9,产品结构!$A$6:$A$10,0)),0)+ROUND(按场景!E10*假设!E49*INDEX(产品结构!$D$6:$D$10,MATCH(按场景!$A10,产品结构!$A$6:$A$10,0)),0)</f>
        <v>2964</v>
      </c>
      <c r="F8" s="42" t="n">
        <f aca="false">ROUND(按场景!F6*假设!F49*INDEX(产品结构!$D$6:$D$10,MATCH(按场景!$A6,产品结构!$A$6:$A$10,0)),0)+ROUND(按场景!F7*假设!F49*INDEX(产品结构!$D$6:$D$10,MATCH(按场景!$A7,产品结构!$A$6:$A$10,0)),0)+ROUND(按场景!F8*假设!F49*INDEX(产品结构!$D$6:$D$10,MATCH(按场景!$A8,产品结构!$A$6:$A$10,0)),0)+ROUND(按场景!F9*假设!F49*INDEX(产品结构!$D$6:$D$10,MATCH(按场景!$A9,产品结构!$A$6:$A$10,0)),0)+ROUND(按场景!F10*假设!F49*INDEX(产品结构!$D$6:$D$10,MATCH(按场景!$A10,产品结构!$A$6:$A$10,0)),0)</f>
        <v>3930</v>
      </c>
      <c r="G8" s="42" t="n">
        <f aca="false">ROUND(按场景!G6*假设!G49*INDEX(产品结构!$D$6:$D$10,MATCH(按场景!$A6,产品结构!$A$6:$A$10,0)),0)+ROUND(按场景!G7*假设!G49*INDEX(产品结构!$D$6:$D$10,MATCH(按场景!$A7,产品结构!$A$6:$A$10,0)),0)+ROUND(按场景!G8*假设!G49*INDEX(产品结构!$D$6:$D$10,MATCH(按场景!$A8,产品结构!$A$6:$A$10,0)),0)+ROUND(按场景!G9*假设!G49*INDEX(产品结构!$D$6:$D$10,MATCH(按场景!$A9,产品结构!$A$6:$A$10,0)),0)+ROUND(按场景!G10*假设!G49*INDEX(产品结构!$D$6:$D$10,MATCH(按场景!$A10,产品结构!$A$6:$A$10,0)),0)</f>
        <v>4755</v>
      </c>
      <c r="H8" s="42" t="n">
        <f aca="false">ROUND(按场景!H6*假设!H49*INDEX(产品结构!$D$6:$D$10,MATCH(按场景!$A6,产品结构!$A$6:$A$10,0)),0)+ROUND(按场景!H7*假设!H49*INDEX(产品结构!$D$6:$D$10,MATCH(按场景!$A7,产品结构!$A$6:$A$10,0)),0)+ROUND(按场景!H8*假设!H49*INDEX(产品结构!$D$6:$D$10,MATCH(按场景!$A8,产品结构!$A$6:$A$10,0)),0)+ROUND(按场景!H9*假设!H49*INDEX(产品结构!$D$6:$D$10,MATCH(按场景!$A9,产品结构!$A$6:$A$10,0)),0)+ROUND(按场景!H10*假设!H49*INDEX(产品结构!$D$6:$D$10,MATCH(按场景!$A10,产品结构!$A$6:$A$10,0)),0)</f>
        <v>5644</v>
      </c>
      <c r="I8" s="42" t="n">
        <f aca="false">ROUND(按场景!I6*假设!I49*INDEX(产品结构!$D$6:$D$10,MATCH(按场景!$A6,产品结构!$A$6:$A$10,0)),0)+ROUND(按场景!I7*假设!I49*INDEX(产品结构!$D$6:$D$10,MATCH(按场景!$A7,产品结构!$A$6:$A$10,0)),0)+ROUND(按场景!I8*假设!I49*INDEX(产品结构!$D$6:$D$10,MATCH(按场景!$A8,产品结构!$A$6:$A$10,0)),0)+ROUND(按场景!I9*假设!I49*INDEX(产品结构!$D$6:$D$10,MATCH(按场景!$A9,产品结构!$A$6:$A$10,0)),0)+ROUND(按场景!I10*假设!I49*INDEX(产品结构!$D$6:$D$10,MATCH(按场景!$A10,产品结构!$A$6:$A$10,0)),0)</f>
        <v>6423</v>
      </c>
      <c r="J8" s="44" t="n">
        <f aca="false">SUM(B8:I8)</f>
        <v>27066</v>
      </c>
      <c r="K8" s="24" t="n">
        <f aca="false">IF(D9=0,0,D8/D9)</f>
        <v>0.221176470588235</v>
      </c>
    </row>
    <row r="9" customFormat="false" ht="15" hidden="false" customHeight="true" outlineLevel="0" collapsed="false">
      <c r="A9" s="59" t="s">
        <v>225</v>
      </c>
      <c r="B9" s="15" t="n">
        <f aca="false">SUM(B6:B8)</f>
        <v>1124</v>
      </c>
      <c r="C9" s="15" t="n">
        <f aca="false">SUM(C6:C8)</f>
        <v>4788</v>
      </c>
      <c r="D9" s="15" t="n">
        <f aca="false">SUM(D6:D8)</f>
        <v>9350</v>
      </c>
      <c r="E9" s="15" t="n">
        <f aca="false">SUM(E6:E8)</f>
        <v>13400</v>
      </c>
      <c r="F9" s="15" t="n">
        <f aca="false">SUM(F6:F8)</f>
        <v>17765</v>
      </c>
      <c r="G9" s="15" t="n">
        <f aca="false">SUM(G6:G8)</f>
        <v>21498</v>
      </c>
      <c r="H9" s="15" t="n">
        <f aca="false">SUM(H6:H8)</f>
        <v>25519</v>
      </c>
      <c r="I9" s="15" t="n">
        <f aca="false">SUM(I6:I8)</f>
        <v>29039</v>
      </c>
      <c r="J9" s="15" t="n">
        <f aca="false">SUM(J6:J8)</f>
        <v>122483</v>
      </c>
      <c r="K9" s="64" t="n">
        <f aca="false">1</f>
        <v>1</v>
      </c>
    </row>
    <row r="11" customFormat="false" ht="16.5" hidden="false" customHeight="true" outlineLevel="0" collapsed="false">
      <c r="A11" s="4" t="s">
        <v>226</v>
      </c>
    </row>
    <row r="12" customFormat="false" ht="15" hidden="false" customHeight="true" outlineLevel="0" collapsed="false">
      <c r="A12" s="5" t="s">
        <v>227</v>
      </c>
      <c r="B12" s="5" t="s">
        <v>31</v>
      </c>
      <c r="C12" s="5" t="s">
        <v>32</v>
      </c>
      <c r="D12" s="5" t="s">
        <v>33</v>
      </c>
      <c r="E12" s="5" t="s">
        <v>34</v>
      </c>
      <c r="F12" s="5" t="s">
        <v>35</v>
      </c>
      <c r="G12" s="5" t="s">
        <v>36</v>
      </c>
      <c r="H12" s="5" t="s">
        <v>37</v>
      </c>
      <c r="I12" s="5" t="s">
        <v>38</v>
      </c>
      <c r="J12" s="32" t="s">
        <v>96</v>
      </c>
      <c r="K12" s="5" t="s">
        <v>228</v>
      </c>
    </row>
    <row r="13" customFormat="false" ht="15" hidden="false" customHeight="true" outlineLevel="0" collapsed="false">
      <c r="A13" s="71" t="s">
        <v>97</v>
      </c>
      <c r="B13" s="42" t="n">
        <f aca="false">按场景!B11-B9</f>
        <v>2176</v>
      </c>
      <c r="C13" s="42" t="n">
        <f aca="false">按场景!C11-C9</f>
        <v>8512</v>
      </c>
      <c r="D13" s="43" t="n">
        <f aca="false">按场景!D11-D9</f>
        <v>15250</v>
      </c>
      <c r="E13" s="42" t="n">
        <f aca="false">按场景!E11-E9</f>
        <v>20100</v>
      </c>
      <c r="F13" s="42" t="n">
        <f aca="false">按场景!F11-F9</f>
        <v>24535</v>
      </c>
      <c r="G13" s="42" t="n">
        <f aca="false">按场景!G11-G9</f>
        <v>28502</v>
      </c>
      <c r="H13" s="42" t="n">
        <f aca="false">按场景!H11-H9</f>
        <v>32481</v>
      </c>
      <c r="I13" s="42" t="n">
        <f aca="false">按场景!I11-I9</f>
        <v>36961</v>
      </c>
      <c r="J13" s="44" t="n">
        <f aca="false">SUM(B13:I13)</f>
        <v>168517</v>
      </c>
      <c r="K13" s="24" t="n">
        <f aca="false">IF(按场景!D11=0,0,D13/按场景!D11)</f>
        <v>0.619918699186992</v>
      </c>
    </row>
    <row r="14" customFormat="false" ht="15" hidden="false" customHeight="true" outlineLevel="0" collapsed="false">
      <c r="A14" s="72" t="s">
        <v>229</v>
      </c>
      <c r="B14" s="42" t="n">
        <f aca="false">按场景!B11</f>
        <v>3300</v>
      </c>
      <c r="C14" s="42" t="n">
        <f aca="false">按场景!C11</f>
        <v>13300</v>
      </c>
      <c r="D14" s="42" t="n">
        <f aca="false">按场景!D11</f>
        <v>24600</v>
      </c>
      <c r="E14" s="42" t="n">
        <f aca="false">按场景!E11</f>
        <v>33500</v>
      </c>
      <c r="F14" s="42" t="n">
        <f aca="false">按场景!F11</f>
        <v>42300</v>
      </c>
      <c r="G14" s="42" t="n">
        <f aca="false">按场景!G11</f>
        <v>50000</v>
      </c>
      <c r="H14" s="42" t="n">
        <f aca="false">按场景!H11</f>
        <v>58000</v>
      </c>
      <c r="I14" s="42" t="n">
        <f aca="false">按场景!I11</f>
        <v>66000</v>
      </c>
      <c r="J14" s="44" t="n">
        <f aca="false">按场景!J11</f>
        <v>291000</v>
      </c>
      <c r="K14" s="64" t="n">
        <f aca="false">1</f>
        <v>1</v>
      </c>
    </row>
    <row r="16" customFormat="false" ht="15" hidden="false" customHeight="true" outlineLevel="0" collapsed="false">
      <c r="A16" s="4" t="s">
        <v>230</v>
      </c>
    </row>
    <row r="17" customFormat="false" ht="15" hidden="false" customHeight="true" outlineLevel="0" collapsed="false">
      <c r="A17" s="5" t="s">
        <v>100</v>
      </c>
      <c r="B17" s="5" t="s">
        <v>31</v>
      </c>
      <c r="C17" s="5" t="s">
        <v>32</v>
      </c>
      <c r="D17" s="5" t="s">
        <v>33</v>
      </c>
      <c r="E17" s="5" t="s">
        <v>34</v>
      </c>
      <c r="F17" s="5" t="s">
        <v>35</v>
      </c>
      <c r="G17" s="5" t="s">
        <v>36</v>
      </c>
      <c r="H17" s="5" t="s">
        <v>37</v>
      </c>
      <c r="I17" s="5" t="s">
        <v>38</v>
      </c>
      <c r="J17" s="32" t="s">
        <v>96</v>
      </c>
      <c r="K17" s="5" t="s">
        <v>203</v>
      </c>
    </row>
    <row r="18" customFormat="false" ht="15" hidden="false" customHeight="true" outlineLevel="0" collapsed="false">
      <c r="A18" s="56" t="s">
        <v>102</v>
      </c>
      <c r="B18" s="42" t="n">
        <f aca="false">ROUND(按场景!B16*INDEX(产品结构!$B$6:$B$10,MATCH(按场景!$A16,产品结构!$A$6:$A$10,0)),0)+ROUND(按场景!B17*INDEX(产品结构!$B$6:$B$10,MATCH(按场景!$A17,产品结构!$A$6:$A$10,0)),0)+ROUND(按场景!B18*INDEX(产品结构!$B$6:$B$10,MATCH(按场景!$A18,产品结构!$A$6:$A$10,0)),0)+ROUND(按场景!B19*INDEX(产品结构!$B$6:$B$10,MATCH(按场景!$A19,产品结构!$A$6:$A$10,0)),0)+ROUND(按场景!B20*INDEX(产品结构!$B$6:$B$10,MATCH(按场景!$A20,产品结构!$A$6:$A$10,0)),0)</f>
        <v>207</v>
      </c>
      <c r="C18" s="42" t="n">
        <f aca="false">ROUND(按场景!C16*INDEX(产品结构!$B$6:$B$10,MATCH(按场景!$A16,产品结构!$A$6:$A$10,0)),0)+ROUND(按场景!C17*INDEX(产品结构!$B$6:$B$10,MATCH(按场景!$A17,产品结构!$A$6:$A$10,0)),0)+ROUND(按场景!C18*INDEX(产品结构!$B$6:$B$10,MATCH(按场景!$A18,产品结构!$A$6:$A$10,0)),0)+ROUND(按场景!C19*INDEX(产品结构!$B$6:$B$10,MATCH(按场景!$A19,产品结构!$A$6:$A$10,0)),0)+ROUND(按场景!C20*INDEX(产品结构!$B$6:$B$10,MATCH(按场景!$A20,产品结构!$A$6:$A$10,0)),0)</f>
        <v>907</v>
      </c>
      <c r="D18" s="43" t="n">
        <f aca="false">ROUND(按场景!D16*INDEX(产品结构!$B$6:$B$10,MATCH(按场景!$A16,产品结构!$A$6:$A$10,0)),0)+ROUND(按场景!D17*INDEX(产品结构!$B$6:$B$10,MATCH(按场景!$A17,产品结构!$A$6:$A$10,0)),0)+ROUND(按场景!D18*INDEX(产品结构!$B$6:$B$10,MATCH(按场景!$A18,产品结构!$A$6:$A$10,0)),0)+ROUND(按场景!D19*INDEX(产品结构!$B$6:$B$10,MATCH(按场景!$A19,产品结构!$A$6:$A$10,0)),0)+ROUND(按场景!D20*INDEX(产品结构!$B$6:$B$10,MATCH(按场景!$A20,产品结构!$A$6:$A$10,0)),0)</f>
        <v>1426</v>
      </c>
      <c r="E18" s="42" t="n">
        <f aca="false">ROUND(按场景!E16*INDEX(产品结构!$B$6:$B$10,MATCH(按场景!$A16,产品结构!$A$6:$A$10,0)),0)+ROUND(按场景!E17*INDEX(产品结构!$B$6:$B$10,MATCH(按场景!$A17,产品结构!$A$6:$A$10,0)),0)+ROUND(按场景!E18*INDEX(产品结构!$B$6:$B$10,MATCH(按场景!$A18,产品结构!$A$6:$A$10,0)),0)+ROUND(按场景!E19*INDEX(产品结构!$B$6:$B$10,MATCH(按场景!$A19,产品结构!$A$6:$A$10,0)),0)+ROUND(按场景!E20*INDEX(产品结构!$B$6:$B$10,MATCH(按场景!$A20,产品结构!$A$6:$A$10,0)),0)</f>
        <v>2175</v>
      </c>
      <c r="F18" s="42" t="n">
        <f aca="false">ROUND(按场景!F16*INDEX(产品结构!$B$6:$B$10,MATCH(按场景!$A16,产品结构!$A$6:$A$10,0)),0)+ROUND(按场景!F17*INDEX(产品结构!$B$6:$B$10,MATCH(按场景!$A17,产品结构!$A$6:$A$10,0)),0)+ROUND(按场景!F18*INDEX(产品结构!$B$6:$B$10,MATCH(按场景!$A18,产品结构!$A$6:$A$10,0)),0)+ROUND(按场景!F19*INDEX(产品结构!$B$6:$B$10,MATCH(按场景!$A19,产品结构!$A$6:$A$10,0)),0)+ROUND(按场景!F20*INDEX(产品结构!$B$6:$B$10,MATCH(按场景!$A20,产品结构!$A$6:$A$10,0)),0)</f>
        <v>2925</v>
      </c>
      <c r="G18" s="42" t="n">
        <f aca="false">ROUND(按场景!G16*INDEX(产品结构!$B$6:$B$10,MATCH(按场景!$A16,产品结构!$A$6:$A$10,0)),0)+ROUND(按场景!G17*INDEX(产品结构!$B$6:$B$10,MATCH(按场景!$A17,产品结构!$A$6:$A$10,0)),0)+ROUND(按场景!G18*INDEX(产品结构!$B$6:$B$10,MATCH(按场景!$A18,产品结构!$A$6:$A$10,0)),0)+ROUND(按场景!G19*INDEX(产品结构!$B$6:$B$10,MATCH(按场景!$A19,产品结构!$A$6:$A$10,0)),0)+ROUND(按场景!G20*INDEX(产品结构!$B$6:$B$10,MATCH(按场景!$A20,产品结构!$A$6:$A$10,0)),0)</f>
        <v>3468</v>
      </c>
      <c r="H18" s="42" t="n">
        <f aca="false">ROUND(按场景!H16*INDEX(产品结构!$B$6:$B$10,MATCH(按场景!$A16,产品结构!$A$6:$A$10,0)),0)+ROUND(按场景!H17*INDEX(产品结构!$B$6:$B$10,MATCH(按场景!$A17,产品结构!$A$6:$A$10,0)),0)+ROUND(按场景!H18*INDEX(产品结构!$B$6:$B$10,MATCH(按场景!$A18,产品结构!$A$6:$A$10,0)),0)+ROUND(按场景!H19*INDEX(产品结构!$B$6:$B$10,MATCH(按场景!$A19,产品结构!$A$6:$A$10,0)),0)+ROUND(按场景!H20*INDEX(产品结构!$B$6:$B$10,MATCH(按场景!$A20,产品结构!$A$6:$A$10,0)),0)</f>
        <v>4012</v>
      </c>
      <c r="I18" s="42" t="n">
        <f aca="false">ROUND(按场景!I16*INDEX(产品结构!$B$6:$B$10,MATCH(按场景!$A16,产品结构!$A$6:$A$10,0)),0)+ROUND(按场景!I17*INDEX(产品结构!$B$6:$B$10,MATCH(按场景!$A17,产品结构!$A$6:$A$10,0)),0)+ROUND(按场景!I18*INDEX(产品结构!$B$6:$B$10,MATCH(按场景!$A18,产品结构!$A$6:$A$10,0)),0)+ROUND(按场景!I19*INDEX(产品结构!$B$6:$B$10,MATCH(按场景!$A19,产品结构!$A$6:$A$10,0)),0)+ROUND(按场景!I20*INDEX(产品结构!$B$6:$B$10,MATCH(按场景!$A20,产品结构!$A$6:$A$10,0)),0)</f>
        <v>4557</v>
      </c>
      <c r="J18" s="44" t="n">
        <f aca="false">SUM(B18:I18)</f>
        <v>19677</v>
      </c>
      <c r="K18" s="24" t="n">
        <f aca="false">IF(D21=0,0,D18/D21)</f>
        <v>0.339766499880867</v>
      </c>
    </row>
    <row r="19" customFormat="false" ht="15" hidden="false" customHeight="true" outlineLevel="0" collapsed="false">
      <c r="A19" s="56" t="s">
        <v>103</v>
      </c>
      <c r="B19" s="42" t="n">
        <f aca="false">ROUND(按场景!B16*INDEX(产品结构!$C$6:$C$10,MATCH(按场景!$A16,产品结构!$A$6:$A$10,0)),0)+ROUND(按场景!B17*INDEX(产品结构!$C$6:$C$10,MATCH(按场景!$A17,产品结构!$A$6:$A$10,0)),0)+ROUND(按场景!B18*INDEX(产品结构!$C$6:$C$10,MATCH(按场景!$A18,产品结构!$A$6:$A$10,0)),0)+ROUND(按场景!B19*INDEX(产品结构!$C$6:$C$10,MATCH(按场景!$A19,产品结构!$A$6:$A$10,0)),0)+ROUND(按场景!B20*INDEX(产品结构!$C$6:$C$10,MATCH(按场景!$A20,产品结构!$A$6:$A$10,0)),0)</f>
        <v>176</v>
      </c>
      <c r="C19" s="42" t="n">
        <f aca="false">ROUND(按场景!C16*INDEX(产品结构!$C$6:$C$10,MATCH(按场景!$A16,产品结构!$A$6:$A$10,0)),0)+ROUND(按场景!C17*INDEX(产品结构!$C$6:$C$10,MATCH(按场景!$A17,产品结构!$A$6:$A$10,0)),0)+ROUND(按场景!C18*INDEX(产品结构!$C$6:$C$10,MATCH(按场景!$A18,产品结构!$A$6:$A$10,0)),0)+ROUND(按场景!C19*INDEX(产品结构!$C$6:$C$10,MATCH(按场景!$A19,产品结构!$A$6:$A$10,0)),0)+ROUND(按场景!C20*INDEX(产品结构!$C$6:$C$10,MATCH(按场景!$A20,产品结构!$A$6:$A$10,0)),0)</f>
        <v>773</v>
      </c>
      <c r="D19" s="43" t="n">
        <f aca="false">ROUND(按场景!D16*INDEX(产品结构!$C$6:$C$10,MATCH(按场景!$A16,产品结构!$A$6:$A$10,0)),0)+ROUND(按场景!D17*INDEX(产品结构!$C$6:$C$10,MATCH(按场景!$A17,产品结构!$A$6:$A$10,0)),0)+ROUND(按场景!D18*INDEX(产品结构!$C$6:$C$10,MATCH(按场景!$A18,产品结构!$A$6:$A$10,0)),0)+ROUND(按场景!D19*INDEX(产品结构!$C$6:$C$10,MATCH(按场景!$A19,产品结构!$A$6:$A$10,0)),0)+ROUND(按场景!D20*INDEX(产品结构!$C$6:$C$10,MATCH(按场景!$A20,产品结构!$A$6:$A$10,0)),0)</f>
        <v>1723</v>
      </c>
      <c r="E19" s="42" t="n">
        <f aca="false">ROUND(按场景!E16*INDEX(产品结构!$C$6:$C$10,MATCH(按场景!$A16,产品结构!$A$6:$A$10,0)),0)+ROUND(按场景!E17*INDEX(产品结构!$C$6:$C$10,MATCH(按场景!$A17,产品结构!$A$6:$A$10,0)),0)+ROUND(按场景!E18*INDEX(产品结构!$C$6:$C$10,MATCH(按场景!$A18,产品结构!$A$6:$A$10,0)),0)+ROUND(按场景!E19*INDEX(产品结构!$C$6:$C$10,MATCH(按场景!$A19,产品结构!$A$6:$A$10,0)),0)+ROUND(按场景!E20*INDEX(产品结构!$C$6:$C$10,MATCH(按场景!$A20,产品结构!$A$6:$A$10,0)),0)</f>
        <v>2625</v>
      </c>
      <c r="F19" s="42" t="n">
        <f aca="false">ROUND(按场景!F16*INDEX(产品结构!$C$6:$C$10,MATCH(按场景!$A16,产品结构!$A$6:$A$10,0)),0)+ROUND(按场景!F17*INDEX(产品结构!$C$6:$C$10,MATCH(按场景!$A17,产品结构!$A$6:$A$10,0)),0)+ROUND(按场景!F18*INDEX(产品结构!$C$6:$C$10,MATCH(按场景!$A18,产品结构!$A$6:$A$10,0)),0)+ROUND(按场景!F19*INDEX(产品结构!$C$6:$C$10,MATCH(按场景!$A19,产品结构!$A$6:$A$10,0)),0)+ROUND(按场景!F20*INDEX(产品结构!$C$6:$C$10,MATCH(按场景!$A20,产品结构!$A$6:$A$10,0)),0)</f>
        <v>3531</v>
      </c>
      <c r="G19" s="42" t="n">
        <f aca="false">ROUND(按场景!G16*INDEX(产品结构!$C$6:$C$10,MATCH(按场景!$A16,产品结构!$A$6:$A$10,0)),0)+ROUND(按场景!G17*INDEX(产品结构!$C$6:$C$10,MATCH(按场景!$A17,产品结构!$A$6:$A$10,0)),0)+ROUND(按场景!G18*INDEX(产品结构!$C$6:$C$10,MATCH(按场景!$A18,产品结构!$A$6:$A$10,0)),0)+ROUND(按场景!G19*INDEX(产品结构!$C$6:$C$10,MATCH(按场景!$A19,产品结构!$A$6:$A$10,0)),0)+ROUND(按场景!G20*INDEX(产品结构!$C$6:$C$10,MATCH(按场景!$A20,产品结构!$A$6:$A$10,0)),0)</f>
        <v>4186</v>
      </c>
      <c r="H19" s="42" t="n">
        <f aca="false">ROUND(按场景!H16*INDEX(产品结构!$C$6:$C$10,MATCH(按场景!$A16,产品结构!$A$6:$A$10,0)),0)+ROUND(按场景!H17*INDEX(产品结构!$C$6:$C$10,MATCH(按场景!$A17,产品结构!$A$6:$A$10,0)),0)+ROUND(按场景!H18*INDEX(产品结构!$C$6:$C$10,MATCH(按场景!$A18,产品结构!$A$6:$A$10,0)),0)+ROUND(按场景!H19*INDEX(产品结构!$C$6:$C$10,MATCH(按场景!$A19,产品结构!$A$6:$A$10,0)),0)+ROUND(按场景!H20*INDEX(产品结构!$C$6:$C$10,MATCH(按场景!$A20,产品结构!$A$6:$A$10,0)),0)</f>
        <v>4842</v>
      </c>
      <c r="I19" s="42" t="n">
        <f aca="false">ROUND(按场景!I16*INDEX(产品结构!$C$6:$C$10,MATCH(按场景!$A16,产品结构!$A$6:$A$10,0)),0)+ROUND(按场景!I17*INDEX(产品结构!$C$6:$C$10,MATCH(按场景!$A17,产品结构!$A$6:$A$10,0)),0)+ROUND(按场景!I18*INDEX(产品结构!$C$6:$C$10,MATCH(按场景!$A18,产品结构!$A$6:$A$10,0)),0)+ROUND(按场景!I19*INDEX(产品结构!$C$6:$C$10,MATCH(按场景!$A19,产品结构!$A$6:$A$10,0)),0)+ROUND(按场景!I20*INDEX(产品结构!$C$6:$C$10,MATCH(按场景!$A20,产品结构!$A$6:$A$10,0)),0)</f>
        <v>5500</v>
      </c>
      <c r="J19" s="44" t="n">
        <f aca="false">SUM(B19:I19)</f>
        <v>23356</v>
      </c>
      <c r="K19" s="24" t="n">
        <f aca="false">IF(D21=0,0,D19/D21)</f>
        <v>0.410531331903741</v>
      </c>
    </row>
    <row r="20" customFormat="false" ht="15" hidden="false" customHeight="true" outlineLevel="0" collapsed="false">
      <c r="A20" s="56" t="s">
        <v>104</v>
      </c>
      <c r="B20" s="42" t="n">
        <f aca="false">ROUND(按场景!B16*INDEX(产品结构!$D$6:$D$10,MATCH(按场景!$A16,产品结构!$A$6:$A$10,0)),0)+ROUND(按场景!B17*INDEX(产品结构!$D$6:$D$10,MATCH(按场景!$A17,产品结构!$A$6:$A$10,0)),0)+ROUND(按场景!B18*INDEX(产品结构!$D$6:$D$10,MATCH(按场景!$A18,产品结构!$A$6:$A$10,0)),0)+ROUND(按场景!B19*INDEX(产品结构!$D$6:$D$10,MATCH(按场景!$A19,产品结构!$A$6:$A$10,0)),0)+ROUND(按场景!B20*INDEX(产品结构!$D$6:$D$10,MATCH(按场景!$A20,产品结构!$A$6:$A$10,0)),0)</f>
        <v>119</v>
      </c>
      <c r="C20" s="42" t="n">
        <f aca="false">ROUND(按场景!C16*INDEX(产品结构!$D$6:$D$10,MATCH(按场景!$A16,产品结构!$A$6:$A$10,0)),0)+ROUND(按场景!C17*INDEX(产品结构!$D$6:$D$10,MATCH(按场景!$A17,产品结构!$A$6:$A$10,0)),0)+ROUND(按场景!C18*INDEX(产品结构!$D$6:$D$10,MATCH(按场景!$A18,产品结构!$A$6:$A$10,0)),0)+ROUND(按场景!C19*INDEX(产品结构!$D$6:$D$10,MATCH(按场景!$A19,产品结构!$A$6:$A$10,0)),0)+ROUND(按场景!C20*INDEX(产品结构!$D$6:$D$10,MATCH(按场景!$A20,产品结构!$A$6:$A$10,0)),0)</f>
        <v>519</v>
      </c>
      <c r="D20" s="43" t="n">
        <f aca="false">ROUND(按场景!D16*INDEX(产品结构!$D$6:$D$10,MATCH(按场景!$A16,产品结构!$A$6:$A$10,0)),0)+ROUND(按场景!D17*INDEX(产品结构!$D$6:$D$10,MATCH(按场景!$A17,产品结构!$A$6:$A$10,0)),0)+ROUND(按场景!D18*INDEX(产品结构!$D$6:$D$10,MATCH(按场景!$A18,产品结构!$A$6:$A$10,0)),0)+ROUND(按场景!D19*INDEX(产品结构!$D$6:$D$10,MATCH(按场景!$A19,产品结构!$A$6:$A$10,0)),0)+ROUND(按场景!D20*INDEX(产品结构!$D$6:$D$10,MATCH(按场景!$A20,产品结构!$A$6:$A$10,0)),0)</f>
        <v>1048</v>
      </c>
      <c r="E20" s="42" t="n">
        <f aca="false">ROUND(按场景!E16*INDEX(产品结构!$D$6:$D$10,MATCH(按场景!$A16,产品结构!$A$6:$A$10,0)),0)+ROUND(按场景!E17*INDEX(产品结构!$D$6:$D$10,MATCH(按场景!$A17,产品结构!$A$6:$A$10,0)),0)+ROUND(按场景!E18*INDEX(产品结构!$D$6:$D$10,MATCH(按场景!$A18,产品结构!$A$6:$A$10,0)),0)+ROUND(按场景!E19*INDEX(产品结构!$D$6:$D$10,MATCH(按场景!$A19,产品结构!$A$6:$A$10,0)),0)+ROUND(按场景!E20*INDEX(产品结构!$D$6:$D$10,MATCH(按场景!$A20,产品结构!$A$6:$A$10,0)),0)</f>
        <v>1597</v>
      </c>
      <c r="F20" s="42" t="n">
        <f aca="false">ROUND(按场景!F16*INDEX(产品结构!$D$6:$D$10,MATCH(按场景!$A16,产品结构!$A$6:$A$10,0)),0)+ROUND(按场景!F17*INDEX(产品结构!$D$6:$D$10,MATCH(按场景!$A17,产品结构!$A$6:$A$10,0)),0)+ROUND(按场景!F18*INDEX(产品结构!$D$6:$D$10,MATCH(按场景!$A18,产品结构!$A$6:$A$10,0)),0)+ROUND(按场景!F19*INDEX(产品结构!$D$6:$D$10,MATCH(按场景!$A19,产品结构!$A$6:$A$10,0)),0)+ROUND(按场景!F20*INDEX(产品结构!$D$6:$D$10,MATCH(按场景!$A20,产品结构!$A$6:$A$10,0)),0)</f>
        <v>2147</v>
      </c>
      <c r="G20" s="42" t="n">
        <f aca="false">ROUND(按场景!G16*INDEX(产品结构!$D$6:$D$10,MATCH(按场景!$A16,产品结构!$A$6:$A$10,0)),0)+ROUND(按场景!G17*INDEX(产品结构!$D$6:$D$10,MATCH(按场景!$A17,产品结构!$A$6:$A$10,0)),0)+ROUND(按场景!G18*INDEX(产品结构!$D$6:$D$10,MATCH(按场景!$A18,产品结构!$A$6:$A$10,0)),0)+ROUND(按场景!G19*INDEX(产品结构!$D$6:$D$10,MATCH(按场景!$A19,产品结构!$A$6:$A$10,0)),0)+ROUND(按场景!G20*INDEX(产品结构!$D$6:$D$10,MATCH(按场景!$A20,产品结构!$A$6:$A$10,0)),0)</f>
        <v>2546</v>
      </c>
      <c r="H20" s="42" t="n">
        <f aca="false">ROUND(按场景!H16*INDEX(产品结构!$D$6:$D$10,MATCH(按场景!$A16,产品结构!$A$6:$A$10,0)),0)+ROUND(按场景!H17*INDEX(产品结构!$D$6:$D$10,MATCH(按场景!$A17,产品结构!$A$6:$A$10,0)),0)+ROUND(按场景!H18*INDEX(产品结构!$D$6:$D$10,MATCH(按场景!$A18,产品结构!$A$6:$A$10,0)),0)+ROUND(按场景!H19*INDEX(产品结构!$D$6:$D$10,MATCH(按场景!$A19,产品结构!$A$6:$A$10,0)),0)+ROUND(按场景!H20*INDEX(产品结构!$D$6:$D$10,MATCH(按场景!$A20,产品结构!$A$6:$A$10,0)),0)</f>
        <v>2945</v>
      </c>
      <c r="I20" s="42" t="n">
        <f aca="false">ROUND(按场景!I16*INDEX(产品结构!$D$6:$D$10,MATCH(按场景!$A16,产品结构!$A$6:$A$10,0)),0)+ROUND(按场景!I17*INDEX(产品结构!$D$6:$D$10,MATCH(按场景!$A17,产品结构!$A$6:$A$10,0)),0)+ROUND(按场景!I18*INDEX(产品结构!$D$6:$D$10,MATCH(按场景!$A18,产品结构!$A$6:$A$10,0)),0)+ROUND(按场景!I19*INDEX(产品结构!$D$6:$D$10,MATCH(按场景!$A19,产品结构!$A$6:$A$10,0)),0)+ROUND(按场景!I20*INDEX(产品结构!$D$6:$D$10,MATCH(按场景!$A20,产品结构!$A$6:$A$10,0)),0)</f>
        <v>3345</v>
      </c>
      <c r="J20" s="44" t="n">
        <f aca="false">SUM(B20:I20)</f>
        <v>14266</v>
      </c>
      <c r="K20" s="24" t="n">
        <f aca="false">IF(D21=0,0,D20/D21)</f>
        <v>0.249702168215392</v>
      </c>
    </row>
    <row r="21" customFormat="false" ht="15" hidden="false" customHeight="true" outlineLevel="0" collapsed="false">
      <c r="A21" s="59" t="s">
        <v>225</v>
      </c>
      <c r="B21" s="15" t="n">
        <f aca="false">SUM(B18:B20)</f>
        <v>502</v>
      </c>
      <c r="C21" s="15" t="n">
        <f aca="false">SUM(C18:C20)</f>
        <v>2199</v>
      </c>
      <c r="D21" s="15" t="n">
        <f aca="false">SUM(D18:D20)</f>
        <v>4197</v>
      </c>
      <c r="E21" s="15" t="n">
        <f aca="false">SUM(E18:E20)</f>
        <v>6397</v>
      </c>
      <c r="F21" s="15" t="n">
        <f aca="false">SUM(F18:F20)</f>
        <v>8603</v>
      </c>
      <c r="G21" s="15" t="n">
        <f aca="false">SUM(G18:G20)</f>
        <v>10200</v>
      </c>
      <c r="H21" s="15" t="n">
        <f aca="false">SUM(H18:H20)</f>
        <v>11799</v>
      </c>
      <c r="I21" s="15" t="n">
        <f aca="false">SUM(I18:I20)</f>
        <v>13402</v>
      </c>
      <c r="J21" s="15" t="n">
        <f aca="false">SUM(J18:J20)</f>
        <v>57299</v>
      </c>
      <c r="K21" s="64" t="n">
        <f aca="false">1</f>
        <v>1</v>
      </c>
    </row>
    <row r="24" customFormat="false" ht="16.5" hidden="false" customHeight="true" outlineLevel="0" collapsed="false">
      <c r="A24" s="4" t="s">
        <v>231</v>
      </c>
    </row>
    <row r="25" customFormat="false" ht="15" hidden="false" customHeight="true" outlineLevel="0" collapsed="false">
      <c r="A25" s="5" t="s">
        <v>100</v>
      </c>
      <c r="B25" s="5" t="s">
        <v>31</v>
      </c>
      <c r="C25" s="5" t="s">
        <v>32</v>
      </c>
      <c r="D25" s="5" t="s">
        <v>33</v>
      </c>
      <c r="E25" s="5" t="s">
        <v>34</v>
      </c>
      <c r="F25" s="5" t="s">
        <v>35</v>
      </c>
      <c r="G25" s="5" t="s">
        <v>36</v>
      </c>
      <c r="H25" s="5" t="s">
        <v>37</v>
      </c>
      <c r="I25" s="5" t="s">
        <v>38</v>
      </c>
      <c r="J25" s="32" t="s">
        <v>96</v>
      </c>
      <c r="K25" s="5" t="s">
        <v>203</v>
      </c>
    </row>
    <row r="26" customFormat="false" ht="15" hidden="false" customHeight="true" outlineLevel="0" collapsed="false">
      <c r="A26" s="8" t="s">
        <v>102</v>
      </c>
      <c r="B26" s="65" t="n">
        <f aca="false">B6+B18</f>
        <v>648</v>
      </c>
      <c r="C26" s="65" t="n">
        <f aca="false">C6+C18</f>
        <v>2783</v>
      </c>
      <c r="D26" s="66" t="n">
        <f aca="false">D6+D18</f>
        <v>4392</v>
      </c>
      <c r="E26" s="65" t="n">
        <f aca="false">E6+E18</f>
        <v>6425</v>
      </c>
      <c r="F26" s="65" t="n">
        <f aca="false">F6+F18</f>
        <v>8560</v>
      </c>
      <c r="G26" s="65" t="n">
        <f aca="false">G6+G18</f>
        <v>10287</v>
      </c>
      <c r="H26" s="65" t="n">
        <f aca="false">H6+H18</f>
        <v>12107</v>
      </c>
      <c r="I26" s="65" t="n">
        <f aca="false">I6+I18</f>
        <v>13768</v>
      </c>
      <c r="J26" s="65" t="n">
        <f aca="false">J6+J18</f>
        <v>58970</v>
      </c>
      <c r="K26" s="67" t="n">
        <f aca="false">IF(D29=0,0,D26/D29)</f>
        <v>0.324204620949288</v>
      </c>
    </row>
    <row r="27" customFormat="false" ht="15" hidden="false" customHeight="true" outlineLevel="0" collapsed="false">
      <c r="A27" s="8" t="s">
        <v>103</v>
      </c>
      <c r="B27" s="65" t="n">
        <f aca="false">B7+B19</f>
        <v>615</v>
      </c>
      <c r="C27" s="65" t="n">
        <f aca="false">C7+C19</f>
        <v>2647</v>
      </c>
      <c r="D27" s="66" t="n">
        <f aca="false">D7+D19</f>
        <v>6039</v>
      </c>
      <c r="E27" s="65" t="n">
        <f aca="false">E7+E19</f>
        <v>8811</v>
      </c>
      <c r="F27" s="65" t="n">
        <f aca="false">F7+F19</f>
        <v>11731</v>
      </c>
      <c r="G27" s="65" t="n">
        <f aca="false">G7+G19</f>
        <v>14110</v>
      </c>
      <c r="H27" s="65" t="n">
        <f aca="false">H7+H19</f>
        <v>16622</v>
      </c>
      <c r="I27" s="65" t="n">
        <f aca="false">I7+I19</f>
        <v>18905</v>
      </c>
      <c r="J27" s="65" t="n">
        <f aca="false">J7+J19</f>
        <v>79480</v>
      </c>
      <c r="K27" s="67" t="n">
        <f aca="false">IF(D29=0,0,D27/D29)</f>
        <v>0.445781353805271</v>
      </c>
    </row>
    <row r="28" customFormat="false" ht="15" hidden="false" customHeight="true" outlineLevel="0" collapsed="false">
      <c r="A28" s="8" t="s">
        <v>104</v>
      </c>
      <c r="B28" s="65" t="n">
        <f aca="false">B8+B20</f>
        <v>363</v>
      </c>
      <c r="C28" s="65" t="n">
        <f aca="false">C8+C20</f>
        <v>1557</v>
      </c>
      <c r="D28" s="66" t="n">
        <f aca="false">D8+D20</f>
        <v>3116</v>
      </c>
      <c r="E28" s="65" t="n">
        <f aca="false">E8+E20</f>
        <v>4561</v>
      </c>
      <c r="F28" s="65" t="n">
        <f aca="false">F8+F20</f>
        <v>6077</v>
      </c>
      <c r="G28" s="65" t="n">
        <f aca="false">G8+G20</f>
        <v>7301</v>
      </c>
      <c r="H28" s="65" t="n">
        <f aca="false">H8+H20</f>
        <v>8589</v>
      </c>
      <c r="I28" s="65" t="n">
        <f aca="false">I8+I20</f>
        <v>9768</v>
      </c>
      <c r="J28" s="65" t="n">
        <f aca="false">J8+J20</f>
        <v>41332</v>
      </c>
      <c r="K28" s="67" t="n">
        <f aca="false">IF(D29=0,0,D28/D29)</f>
        <v>0.230014025245442</v>
      </c>
    </row>
    <row r="29" customFormat="false" ht="15" hidden="false" customHeight="true" outlineLevel="0" collapsed="false">
      <c r="A29" s="59" t="s">
        <v>232</v>
      </c>
      <c r="B29" s="15" t="n">
        <f aca="false">SUM(B26:B28)</f>
        <v>1626</v>
      </c>
      <c r="C29" s="15" t="n">
        <f aca="false">SUM(C26:C28)</f>
        <v>6987</v>
      </c>
      <c r="D29" s="15" t="n">
        <f aca="false">SUM(D26:D28)</f>
        <v>13547</v>
      </c>
      <c r="E29" s="15" t="n">
        <f aca="false">SUM(E26:E28)</f>
        <v>19797</v>
      </c>
      <c r="F29" s="15" t="n">
        <f aca="false">SUM(F26:F28)</f>
        <v>26368</v>
      </c>
      <c r="G29" s="15" t="n">
        <f aca="false">SUM(G26:G28)</f>
        <v>31698</v>
      </c>
      <c r="H29" s="15" t="n">
        <f aca="false">SUM(H26:H28)</f>
        <v>37318</v>
      </c>
      <c r="I29" s="15" t="n">
        <f aca="false">SUM(I26:I28)</f>
        <v>42441</v>
      </c>
      <c r="J29" s="15" t="n">
        <f aca="false">SUM(J26:J28)</f>
        <v>179782</v>
      </c>
      <c r="K29" s="64" t="n">
        <f aca="false">1</f>
        <v>1</v>
      </c>
    </row>
    <row r="31" customFormat="false" ht="15" hidden="false" customHeight="true" outlineLevel="0" collapsed="false">
      <c r="A31" s="4" t="s">
        <v>233</v>
      </c>
    </row>
    <row r="32" customFormat="false" ht="15" hidden="false" customHeight="true" outlineLevel="0" collapsed="false">
      <c r="A32" s="5" t="s">
        <v>3</v>
      </c>
      <c r="B32" s="5" t="s">
        <v>31</v>
      </c>
      <c r="C32" s="5" t="s">
        <v>32</v>
      </c>
      <c r="D32" s="5" t="s">
        <v>33</v>
      </c>
      <c r="E32" s="5" t="s">
        <v>34</v>
      </c>
      <c r="F32" s="5" t="s">
        <v>35</v>
      </c>
      <c r="G32" s="5" t="s">
        <v>36</v>
      </c>
      <c r="H32" s="5" t="s">
        <v>37</v>
      </c>
      <c r="I32" s="5" t="s">
        <v>38</v>
      </c>
      <c r="J32" s="32" t="s">
        <v>96</v>
      </c>
    </row>
    <row r="33" customFormat="false" ht="15" hidden="false" customHeight="true" outlineLevel="0" collapsed="false">
      <c r="A33" s="8" t="s">
        <v>234</v>
      </c>
      <c r="B33" s="42" t="n">
        <f aca="false">B9</f>
        <v>1124</v>
      </c>
      <c r="C33" s="42" t="n">
        <f aca="false">C9</f>
        <v>4788</v>
      </c>
      <c r="D33" s="42" t="n">
        <f aca="false">D9</f>
        <v>9350</v>
      </c>
      <c r="E33" s="42" t="n">
        <f aca="false">E9</f>
        <v>13400</v>
      </c>
      <c r="F33" s="42" t="n">
        <f aca="false">F9</f>
        <v>17765</v>
      </c>
      <c r="G33" s="42" t="n">
        <f aca="false">G9</f>
        <v>21498</v>
      </c>
      <c r="H33" s="42" t="n">
        <f aca="false">H9</f>
        <v>25519</v>
      </c>
      <c r="I33" s="42" t="n">
        <f aca="false">I9</f>
        <v>29039</v>
      </c>
      <c r="J33" s="42" t="n">
        <f aca="false">J9</f>
        <v>122483</v>
      </c>
    </row>
    <row r="34" customFormat="false" ht="15" hidden="false" customHeight="true" outlineLevel="0" collapsed="false">
      <c r="A34" s="8" t="s">
        <v>235</v>
      </c>
      <c r="B34" s="42" t="n">
        <f aca="false">协同利润!B6</f>
        <v>1124</v>
      </c>
      <c r="C34" s="42" t="n">
        <f aca="false">协同利润!C6</f>
        <v>4788</v>
      </c>
      <c r="D34" s="42" t="n">
        <f aca="false">协同利润!D6</f>
        <v>9350</v>
      </c>
      <c r="E34" s="42" t="n">
        <f aca="false">协同利润!E6</f>
        <v>13400</v>
      </c>
      <c r="F34" s="42" t="n">
        <f aca="false">协同利润!F6</f>
        <v>17765</v>
      </c>
      <c r="G34" s="42" t="n">
        <f aca="false">协同利润!G6</f>
        <v>21498</v>
      </c>
      <c r="H34" s="42" t="n">
        <f aca="false">协同利润!H6</f>
        <v>25519</v>
      </c>
      <c r="I34" s="42" t="n">
        <f aca="false">协同利润!I6</f>
        <v>29039</v>
      </c>
      <c r="J34" s="42" t="n">
        <f aca="false">协同利润!J6</f>
        <v>122483</v>
      </c>
    </row>
    <row r="35" customFormat="false" ht="15" hidden="false" customHeight="true" outlineLevel="0" collapsed="false">
      <c r="A35" s="62" t="s">
        <v>236</v>
      </c>
      <c r="B35" s="43" t="n">
        <f aca="false">B33-B34</f>
        <v>0</v>
      </c>
      <c r="C35" s="43" t="n">
        <f aca="false">C33-C34</f>
        <v>0</v>
      </c>
      <c r="D35" s="43" t="n">
        <f aca="false">D33-D34</f>
        <v>0</v>
      </c>
      <c r="E35" s="43" t="n">
        <f aca="false">E33-E34</f>
        <v>0</v>
      </c>
      <c r="F35" s="43" t="n">
        <f aca="false">F33-F34</f>
        <v>0</v>
      </c>
      <c r="G35" s="43" t="n">
        <f aca="false">G33-G34</f>
        <v>0</v>
      </c>
      <c r="H35" s="43" t="n">
        <f aca="false">H33-H34</f>
        <v>0</v>
      </c>
      <c r="I35" s="43" t="n">
        <f aca="false">I33-I34</f>
        <v>0</v>
      </c>
      <c r="J35" s="43" t="n">
        <f aca="false">J33-J34</f>
        <v>0</v>
      </c>
    </row>
    <row r="36" customFormat="false" ht="15" hidden="false" customHeight="true" outlineLevel="0" collapsed="false">
      <c r="A36" s="8" t="s">
        <v>237</v>
      </c>
      <c r="B36" s="42" t="n">
        <f aca="false">B21</f>
        <v>502</v>
      </c>
      <c r="C36" s="42" t="n">
        <f aca="false">C21</f>
        <v>2199</v>
      </c>
      <c r="D36" s="42" t="n">
        <f aca="false">D21</f>
        <v>4197</v>
      </c>
      <c r="E36" s="42" t="n">
        <f aca="false">E21</f>
        <v>6397</v>
      </c>
      <c r="F36" s="42" t="n">
        <f aca="false">F21</f>
        <v>8603</v>
      </c>
      <c r="G36" s="42" t="n">
        <f aca="false">G21</f>
        <v>10200</v>
      </c>
      <c r="H36" s="42" t="n">
        <f aca="false">H21</f>
        <v>11799</v>
      </c>
      <c r="I36" s="42" t="n">
        <f aca="false">I21</f>
        <v>13402</v>
      </c>
      <c r="J36" s="42" t="n">
        <f aca="false">J21</f>
        <v>57299</v>
      </c>
    </row>
    <row r="37" customFormat="false" ht="15" hidden="false" customHeight="true" outlineLevel="0" collapsed="false">
      <c r="A37" s="8" t="s">
        <v>238</v>
      </c>
      <c r="B37" s="42" t="n">
        <f aca="false">假设!B23</f>
        <v>500</v>
      </c>
      <c r="C37" s="42" t="n">
        <f aca="false">假设!C23</f>
        <v>2200</v>
      </c>
      <c r="D37" s="42" t="n">
        <f aca="false">假设!D23</f>
        <v>4200</v>
      </c>
      <c r="E37" s="42" t="n">
        <f aca="false">假设!E23</f>
        <v>6400</v>
      </c>
      <c r="F37" s="42" t="n">
        <f aca="false">假设!F23</f>
        <v>8600</v>
      </c>
      <c r="G37" s="42" t="n">
        <f aca="false">假设!G23</f>
        <v>10200</v>
      </c>
      <c r="H37" s="42" t="n">
        <f aca="false">假设!H23</f>
        <v>11800</v>
      </c>
      <c r="I37" s="42" t="n">
        <f aca="false">假设!I23</f>
        <v>13400</v>
      </c>
      <c r="J37" s="42" t="n">
        <f aca="false">假设!J23</f>
        <v>57300</v>
      </c>
    </row>
    <row r="38" customFormat="false" ht="15" hidden="false" customHeight="true" outlineLevel="0" collapsed="false">
      <c r="A38" s="62" t="s">
        <v>239</v>
      </c>
      <c r="B38" s="43" t="n">
        <f aca="false">B36-B37</f>
        <v>2</v>
      </c>
      <c r="C38" s="43" t="n">
        <f aca="false">C36-C37</f>
        <v>-1</v>
      </c>
      <c r="D38" s="43" t="n">
        <f aca="false">D36-D37</f>
        <v>-3</v>
      </c>
      <c r="E38" s="43" t="n">
        <f aca="false">E36-E37</f>
        <v>-3</v>
      </c>
      <c r="F38" s="43" t="n">
        <f aca="false">F36-F37</f>
        <v>3</v>
      </c>
      <c r="G38" s="43" t="n">
        <f aca="false">G36-G37</f>
        <v>0</v>
      </c>
      <c r="H38" s="43" t="n">
        <f aca="false">H36-H37</f>
        <v>-1</v>
      </c>
      <c r="I38" s="43" t="n">
        <f aca="false">I36-I37</f>
        <v>2</v>
      </c>
      <c r="J38" s="43" t="n">
        <f aca="false">J36-J37</f>
        <v>-1</v>
      </c>
    </row>
    <row r="40" customFormat="false" ht="13.5" hidden="false" customHeight="true" outlineLevel="0" collapsed="false">
      <c r="A40" s="3" t="s">
        <v>240</v>
      </c>
      <c r="B40" s="3"/>
      <c r="C40" s="3"/>
      <c r="D40" s="3"/>
      <c r="E40" s="3"/>
      <c r="F40" s="3"/>
      <c r="G40" s="3"/>
      <c r="H40" s="3"/>
      <c r="I40" s="3"/>
      <c r="J40" s="3"/>
      <c r="K40" s="3"/>
    </row>
  </sheetData>
  <mergeCells count="3">
    <mergeCell ref="A1:K1"/>
    <mergeCell ref="A2:K2"/>
    <mergeCell ref="A40:K40"/>
  </mergeCell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&amp;L测算数据不构成收益承诺 · 系统集成不是产品线&amp;R按产品线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E4577"/>
    <pageSetUpPr fitToPage="true"/>
  </sheetPr>
  <dimension ref="A1:J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7.89453125" defaultRowHeight="15" customHeight="false" zeroHeight="false" outlineLevelRow="0" outlineLevelCol="0"/>
  <cols>
    <col collapsed="false" customWidth="true" hidden="false" outlineLevel="0" max="1" min="1" style="1" width="23.66"/>
    <col collapsed="false" customWidth="true" hidden="false" outlineLevel="0" max="9" min="2" style="1" width="11.83"/>
    <col collapsed="false" customWidth="true" hidden="false" outlineLevel="0" max="10" min="10" style="1" width="12.74"/>
  </cols>
  <sheetData>
    <row r="1" customFormat="false" ht="17.25" hidden="false" customHeight="true" outlineLevel="0" collapsed="false">
      <c r="A1" s="2" t="s">
        <v>241</v>
      </c>
      <c r="B1" s="2"/>
      <c r="C1" s="2"/>
      <c r="D1" s="2"/>
      <c r="E1" s="2"/>
      <c r="F1" s="2"/>
      <c r="G1" s="2"/>
      <c r="H1" s="2"/>
      <c r="I1" s="2"/>
      <c r="J1" s="2"/>
    </row>
    <row r="2" customFormat="false" ht="15" hidden="false" customHeight="true" outlineLevel="0" collapsed="false">
      <c r="A2" s="49" t="s">
        <v>242</v>
      </c>
    </row>
    <row r="4" customFormat="false" ht="15" hidden="false" customHeight="true" outlineLevel="0" collapsed="false">
      <c r="A4" s="5" t="s">
        <v>3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  <c r="H4" s="5" t="s">
        <v>37</v>
      </c>
      <c r="I4" s="5" t="s">
        <v>38</v>
      </c>
      <c r="J4" s="5" t="s">
        <v>39</v>
      </c>
    </row>
    <row r="5" customFormat="false" ht="15" hidden="false" customHeight="true" outlineLevel="0" collapsed="false">
      <c r="A5" s="16" t="s">
        <v>40</v>
      </c>
      <c r="B5" s="42" t="n">
        <f aca="false">通道年单!B5</f>
        <v>3300</v>
      </c>
      <c r="C5" s="42" t="n">
        <f aca="false">通道年单!C5</f>
        <v>13300</v>
      </c>
      <c r="D5" s="42" t="n">
        <f aca="false">通道年单!D5</f>
        <v>24600</v>
      </c>
      <c r="E5" s="42" t="n">
        <f aca="false">通道年单!E5</f>
        <v>33500</v>
      </c>
      <c r="F5" s="42" t="n">
        <f aca="false">通道年单!F5</f>
        <v>42300</v>
      </c>
      <c r="G5" s="42" t="n">
        <f aca="false">通道年单!G5</f>
        <v>50000</v>
      </c>
      <c r="H5" s="42" t="n">
        <f aca="false">通道年单!H5</f>
        <v>58000</v>
      </c>
      <c r="I5" s="42" t="n">
        <f aca="false">通道年单!I5</f>
        <v>66000</v>
      </c>
      <c r="J5" s="44" t="n">
        <f aca="false">SUM(B5:I5)</f>
        <v>291000</v>
      </c>
    </row>
    <row r="6" customFormat="false" ht="15" hidden="false" customHeight="true" outlineLevel="0" collapsed="false">
      <c r="A6" s="12" t="s">
        <v>243</v>
      </c>
      <c r="B6" s="30" t="n">
        <f aca="false">按产品线!B9</f>
        <v>1124</v>
      </c>
      <c r="C6" s="30" t="n">
        <f aca="false">按产品线!C9</f>
        <v>4788</v>
      </c>
      <c r="D6" s="30" t="n">
        <f aca="false">按产品线!D9</f>
        <v>9350</v>
      </c>
      <c r="E6" s="30" t="n">
        <f aca="false">按产品线!E9</f>
        <v>13400</v>
      </c>
      <c r="F6" s="30" t="n">
        <f aca="false">按产品线!F9</f>
        <v>17765</v>
      </c>
      <c r="G6" s="30" t="n">
        <f aca="false">按产品线!G9</f>
        <v>21498</v>
      </c>
      <c r="H6" s="30" t="n">
        <f aca="false">按产品线!H9</f>
        <v>25519</v>
      </c>
      <c r="I6" s="30" t="n">
        <f aca="false">按产品线!I9</f>
        <v>29039</v>
      </c>
      <c r="J6" s="15" t="n">
        <f aca="false">SUM(B6:I6)</f>
        <v>122483</v>
      </c>
    </row>
    <row r="7" customFormat="false" ht="15" hidden="false" customHeight="true" outlineLevel="0" collapsed="false">
      <c r="A7" s="16" t="s">
        <v>41</v>
      </c>
      <c r="B7" s="30" t="n">
        <f aca="false">按产品线!B21</f>
        <v>502</v>
      </c>
      <c r="C7" s="30" t="n">
        <f aca="false">按产品线!C21</f>
        <v>2199</v>
      </c>
      <c r="D7" s="30" t="n">
        <f aca="false">按产品线!D21</f>
        <v>4197</v>
      </c>
      <c r="E7" s="30" t="n">
        <f aca="false">按产品线!E21</f>
        <v>6397</v>
      </c>
      <c r="F7" s="30" t="n">
        <f aca="false">按产品线!F21</f>
        <v>8603</v>
      </c>
      <c r="G7" s="30" t="n">
        <f aca="false">按产品线!G21</f>
        <v>10200</v>
      </c>
      <c r="H7" s="30" t="n">
        <f aca="false">按产品线!H21</f>
        <v>11799</v>
      </c>
      <c r="I7" s="30" t="n">
        <f aca="false">按产品线!I21</f>
        <v>13402</v>
      </c>
      <c r="J7" s="44" t="n">
        <f aca="false">SUM(B7:I7)</f>
        <v>57299</v>
      </c>
    </row>
    <row r="8" customFormat="false" ht="15" hidden="false" customHeight="true" outlineLevel="0" collapsed="false">
      <c r="A8" s="12" t="s">
        <v>244</v>
      </c>
      <c r="B8" s="73" t="n">
        <f aca="false">ROUND(按产品线!B6*假设!$B$43+按产品线!B7*假设!$B$44+按产品线!B8*假设!$B$45+按产品线!B18*假设!$B$43+按产品线!B19*假设!$B$44+按产品线!B20*假设!$B$45,0)</f>
        <v>304</v>
      </c>
      <c r="C8" s="73" t="n">
        <f aca="false">ROUND(按产品线!C6*假设!$B$43+按产品线!C7*假设!$B$44+按产品线!C8*假设!$B$45+按产品线!C18*假设!$B$43+按产品线!C19*假设!$B$44+按产品线!C20*假设!$B$45,0)</f>
        <v>1308</v>
      </c>
      <c r="D8" s="73" t="n">
        <f aca="false">ROUND(按产品线!D6*假设!$B$43+按产品线!D7*假设!$B$44+按产品线!D8*假设!$B$45+按产品线!D18*假设!$B$43+按产品线!D19*假设!$B$44+按产品线!D20*假设!$B$45,0)</f>
        <v>2592</v>
      </c>
      <c r="E8" s="73" t="n">
        <f aca="false">ROUND(按产品线!E6*假设!$B$43+按产品线!E7*假设!$B$44+按产品线!E8*假设!$B$45+按产品线!E18*假设!$B$43+按产品线!E19*假设!$B$44+按产品线!E20*假设!$B$45,0)</f>
        <v>3787</v>
      </c>
      <c r="F8" s="73" t="n">
        <f aca="false">ROUND(按产品线!F6*假设!$B$43+按产品线!F7*假设!$B$44+按产品线!F8*假设!$B$45+按产品线!F18*假设!$B$43+按产品线!F19*假设!$B$44+按产品线!F20*假设!$B$45,0)</f>
        <v>5044</v>
      </c>
      <c r="G8" s="73" t="n">
        <f aca="false">ROUND(按产品线!G6*假设!$B$43+按产品线!G7*假设!$B$44+按产品线!G8*假设!$B$45+按产品线!G18*假设!$B$43+按产品线!G19*假设!$B$44+按产品线!G20*假设!$B$45,0)</f>
        <v>6064</v>
      </c>
      <c r="H8" s="73" t="n">
        <f aca="false">ROUND(按产品线!H6*假设!$B$43+按产品线!H7*假设!$B$44+按产品线!H8*假设!$B$45+按产品线!H18*假设!$B$43+按产品线!H19*假设!$B$44+按产品线!H20*假设!$B$45,0)</f>
        <v>7140</v>
      </c>
      <c r="I8" s="73" t="n">
        <f aca="false">ROUND(按产品线!I6*假设!$B$43+按产品线!I7*假设!$B$44+按产品线!I8*假设!$B$45+按产品线!I18*假设!$B$43+按产品线!I19*假设!$B$44+按产品线!I20*假设!$B$45,0)</f>
        <v>8120</v>
      </c>
      <c r="J8" s="15" t="n">
        <f aca="false">SUM(B8:I8)</f>
        <v>34359</v>
      </c>
    </row>
    <row r="9" customFormat="false" ht="15" hidden="false" customHeight="true" outlineLevel="0" collapsed="false">
      <c r="A9" s="12" t="s">
        <v>245</v>
      </c>
      <c r="B9" s="65" t="n">
        <f aca="false">ROUND(B7*假设!$B$12,0)</f>
        <v>15</v>
      </c>
      <c r="C9" s="65" t="n">
        <f aca="false">ROUND(C7*假设!$B$12,0)</f>
        <v>66</v>
      </c>
      <c r="D9" s="65" t="n">
        <f aca="false">ROUND(D7*假设!$B$12,0)</f>
        <v>126</v>
      </c>
      <c r="E9" s="65" t="n">
        <f aca="false">ROUND(E7*假设!$B$12,0)</f>
        <v>192</v>
      </c>
      <c r="F9" s="65" t="n">
        <f aca="false">ROUND(F7*假设!$B$12,0)</f>
        <v>258</v>
      </c>
      <c r="G9" s="65" t="n">
        <f aca="false">ROUND(G7*假设!$B$12,0)</f>
        <v>306</v>
      </c>
      <c r="H9" s="65" t="n">
        <f aca="false">ROUND(H7*假设!$B$12,0)</f>
        <v>354</v>
      </c>
      <c r="I9" s="65" t="n">
        <f aca="false">ROUND(I7*假设!$B$12,0)</f>
        <v>402</v>
      </c>
      <c r="J9" s="15" t="n">
        <f aca="false">SUM(B9:I9)</f>
        <v>1719</v>
      </c>
    </row>
    <row r="10" customFormat="false" ht="15" hidden="false" customHeight="true" outlineLevel="0" collapsed="false">
      <c r="A10" s="12" t="s">
        <v>42</v>
      </c>
      <c r="B10" s="42" t="n">
        <f aca="false">假设!B24</f>
        <v>280</v>
      </c>
      <c r="C10" s="42" t="n">
        <f aca="false">假设!C24</f>
        <v>350</v>
      </c>
      <c r="D10" s="42" t="n">
        <f aca="false">假设!D24</f>
        <v>420</v>
      </c>
      <c r="E10" s="42" t="n">
        <f aca="false">假设!E24</f>
        <v>500</v>
      </c>
      <c r="F10" s="42" t="n">
        <f aca="false">假设!F24</f>
        <v>580</v>
      </c>
      <c r="G10" s="42" t="n">
        <f aca="false">假设!G24</f>
        <v>640</v>
      </c>
      <c r="H10" s="42" t="n">
        <f aca="false">假设!H24</f>
        <v>700</v>
      </c>
      <c r="I10" s="42" t="n">
        <f aca="false">假设!I24</f>
        <v>760</v>
      </c>
      <c r="J10" s="44" t="n">
        <f aca="false">SUM(B10:I10)</f>
        <v>4230</v>
      </c>
    </row>
    <row r="11" customFormat="false" ht="15" hidden="false" customHeight="true" outlineLevel="0" collapsed="false">
      <c r="A11" s="12" t="s">
        <v>43</v>
      </c>
      <c r="B11" s="42" t="n">
        <f aca="false">假设!B25</f>
        <v>150</v>
      </c>
      <c r="C11" s="42" t="n">
        <f aca="false">假设!C25</f>
        <v>200</v>
      </c>
      <c r="D11" s="42" t="n">
        <f aca="false">假设!D25</f>
        <v>260</v>
      </c>
      <c r="E11" s="42" t="n">
        <f aca="false">假设!E25</f>
        <v>320</v>
      </c>
      <c r="F11" s="42" t="n">
        <f aca="false">假设!F25</f>
        <v>380</v>
      </c>
      <c r="G11" s="42" t="n">
        <f aca="false">假设!G25</f>
        <v>420</v>
      </c>
      <c r="H11" s="42" t="n">
        <f aca="false">假设!H25</f>
        <v>460</v>
      </c>
      <c r="I11" s="42" t="n">
        <f aca="false">假设!I25</f>
        <v>500</v>
      </c>
      <c r="J11" s="44" t="n">
        <f aca="false">SUM(B11:I11)</f>
        <v>2690</v>
      </c>
    </row>
    <row r="12" customFormat="false" ht="15" hidden="false" customHeight="true" outlineLevel="0" collapsed="false">
      <c r="A12" s="12" t="s">
        <v>246</v>
      </c>
      <c r="B12" s="65" t="n">
        <f aca="false">B9+B10+B11</f>
        <v>445</v>
      </c>
      <c r="C12" s="65" t="n">
        <f aca="false">C9+C10+C11</f>
        <v>616</v>
      </c>
      <c r="D12" s="65" t="n">
        <f aca="false">D9+D10+D11</f>
        <v>806</v>
      </c>
      <c r="E12" s="65" t="n">
        <f aca="false">E9+E10+E11</f>
        <v>1012</v>
      </c>
      <c r="F12" s="65" t="n">
        <f aca="false">F9+F10+F11</f>
        <v>1218</v>
      </c>
      <c r="G12" s="65" t="n">
        <f aca="false">G9+G10+G11</f>
        <v>1366</v>
      </c>
      <c r="H12" s="65" t="n">
        <f aca="false">H9+H10+H11</f>
        <v>1514</v>
      </c>
      <c r="I12" s="65" t="n">
        <f aca="false">I9+I10+I11</f>
        <v>1662</v>
      </c>
      <c r="J12" s="15" t="n">
        <f aca="false">SUM(B12:I12)</f>
        <v>8639</v>
      </c>
    </row>
    <row r="13" customFormat="false" ht="15" hidden="false" customHeight="true" outlineLevel="0" collapsed="false">
      <c r="A13" s="12" t="s">
        <v>247</v>
      </c>
      <c r="B13" s="65" t="n">
        <f aca="false">B8-B12</f>
        <v>-141</v>
      </c>
      <c r="C13" s="65" t="n">
        <f aca="false">C8-C12</f>
        <v>692</v>
      </c>
      <c r="D13" s="65" t="n">
        <f aca="false">D8-D12</f>
        <v>1786</v>
      </c>
      <c r="E13" s="65" t="n">
        <f aca="false">E8-E12</f>
        <v>2775</v>
      </c>
      <c r="F13" s="65" t="n">
        <f aca="false">F8-F12</f>
        <v>3826</v>
      </c>
      <c r="G13" s="65" t="n">
        <f aca="false">G8-G12</f>
        <v>4698</v>
      </c>
      <c r="H13" s="65" t="n">
        <f aca="false">H8-H12</f>
        <v>5626</v>
      </c>
      <c r="I13" s="65" t="n">
        <f aca="false">I8-I12</f>
        <v>6458</v>
      </c>
      <c r="J13" s="15" t="n">
        <f aca="false">SUM(B13:I13)</f>
        <v>25720</v>
      </c>
    </row>
    <row r="14" customFormat="false" ht="15" hidden="false" customHeight="true" outlineLevel="0" collapsed="false">
      <c r="A14" s="74" t="s">
        <v>248</v>
      </c>
      <c r="B14" s="15" t="n">
        <f aca="false">ROUND(B13*(1-假设!$B$8),0)</f>
        <v>-106</v>
      </c>
      <c r="C14" s="15" t="n">
        <f aca="false">ROUND(C13*(1-假设!$B$8),0)</f>
        <v>519</v>
      </c>
      <c r="D14" s="15" t="n">
        <f aca="false">ROUND(D13*(1-假设!$B$8),0)</f>
        <v>1340</v>
      </c>
      <c r="E14" s="15" t="n">
        <f aca="false">ROUND(E13*(1-假设!$B$8),0)</f>
        <v>2081</v>
      </c>
      <c r="F14" s="15" t="n">
        <f aca="false">ROUND(F13*(1-假设!$B$8),0)</f>
        <v>2870</v>
      </c>
      <c r="G14" s="15" t="n">
        <f aca="false">ROUND(G13*(1-假设!$B$8),0)</f>
        <v>3524</v>
      </c>
      <c r="H14" s="15" t="n">
        <f aca="false">ROUND(H13*(1-假设!$B$8),0)</f>
        <v>4220</v>
      </c>
      <c r="I14" s="15" t="n">
        <f aca="false">ROUND(I13*(1-假设!$B$8),0)</f>
        <v>4844</v>
      </c>
      <c r="J14" s="15" t="n">
        <f aca="false">SUM(B14:I14)</f>
        <v>19292</v>
      </c>
    </row>
    <row r="16" customFormat="false" ht="16.5" hidden="false" customHeight="true" outlineLevel="0" collapsed="false">
      <c r="A16" s="4" t="s">
        <v>249</v>
      </c>
    </row>
    <row r="17" customFormat="false" ht="15" hidden="false" customHeight="true" outlineLevel="0" collapsed="false">
      <c r="A17" s="5" t="s">
        <v>3</v>
      </c>
      <c r="B17" s="5" t="s">
        <v>24</v>
      </c>
      <c r="C17" s="5" t="s">
        <v>25</v>
      </c>
      <c r="D17" s="5" t="s">
        <v>26</v>
      </c>
    </row>
    <row r="18" customFormat="false" ht="15" hidden="false" customHeight="true" outlineLevel="0" collapsed="false">
      <c r="A18" s="12" t="s">
        <v>250</v>
      </c>
      <c r="B18" s="42" t="n">
        <f aca="false">通道年单!J6</f>
        <v>130950</v>
      </c>
      <c r="C18" s="42" t="n">
        <f aca="false">通道年单!J5</f>
        <v>291000</v>
      </c>
      <c r="D18" s="42" t="n">
        <f aca="false">通道年单!J7</f>
        <v>494700</v>
      </c>
    </row>
    <row r="19" customFormat="false" ht="15" hidden="false" customHeight="true" outlineLevel="0" collapsed="false">
      <c r="A19" s="12" t="s">
        <v>251</v>
      </c>
      <c r="B19" s="65" t="n">
        <f aca="false">假设!J23*假设!B17</f>
        <v>34380</v>
      </c>
      <c r="C19" s="42" t="n">
        <f aca="false">假设!J23</f>
        <v>57300</v>
      </c>
      <c r="D19" s="65" t="n">
        <f aca="false">假设!J23*假设!D17</f>
        <v>97410</v>
      </c>
    </row>
    <row r="20" customFormat="false" ht="15" hidden="false" customHeight="true" outlineLevel="0" collapsed="false">
      <c r="A20" s="16" t="s">
        <v>252</v>
      </c>
      <c r="B20" s="44" t="n">
        <f aca="false">J23</f>
        <v>6856</v>
      </c>
      <c r="C20" s="44" t="n">
        <f aca="false">J24</f>
        <v>19292</v>
      </c>
      <c r="D20" s="44" t="n">
        <f aca="false">J25</f>
        <v>36428</v>
      </c>
    </row>
    <row r="22" customFormat="false" ht="15" hidden="false" customHeight="true" outlineLevel="0" collapsed="false">
      <c r="A22" s="5" t="s">
        <v>253</v>
      </c>
      <c r="B22" s="5" t="s">
        <v>31</v>
      </c>
      <c r="C22" s="5" t="s">
        <v>32</v>
      </c>
      <c r="D22" s="5" t="s">
        <v>33</v>
      </c>
      <c r="E22" s="5" t="s">
        <v>34</v>
      </c>
      <c r="F22" s="5" t="s">
        <v>35</v>
      </c>
      <c r="G22" s="5" t="s">
        <v>36</v>
      </c>
      <c r="H22" s="5" t="s">
        <v>37</v>
      </c>
      <c r="I22" s="5" t="s">
        <v>38</v>
      </c>
      <c r="J22" s="5" t="s">
        <v>39</v>
      </c>
    </row>
    <row r="23" customFormat="false" ht="15" hidden="false" customHeight="true" outlineLevel="0" collapsed="false">
      <c r="A23" s="12" t="s">
        <v>24</v>
      </c>
      <c r="B23" s="73" t="n">
        <f aca="false">ROUND((ROUND(通道年单!B5*假设!$B$16*假设!B49,0)/IF(按产品线!B9=0,1,按产品线!B9)*(按产品线!B6*假设!$B$43+按产品线!B7*假设!$B$44+按产品线!B8*假设!$B$45)+ROUND(假设!B23*假设!$B$17,0)/IF(按产品线!B21=0,1,按产品线!B21)*(按产品线!B18*假设!$B$43+按产品线!B19*假设!$B$44+按产品线!B20*假设!$B$45)-ROUND(ROUND(假设!B23*假设!$B$17,0)*假设!$B$12,0)-假设!B24-假设!B25)*(1-假设!$B$8),0)</f>
        <v>-216</v>
      </c>
      <c r="C23" s="73" t="n">
        <f aca="false">ROUND((ROUND(通道年单!C5*假设!$B$16*假设!C49,0)/IF(按产品线!C9=0,1,按产品线!C9)*(按产品线!C6*假设!$B$43+按产品线!C7*假设!$B$44+按产品线!C8*假设!$B$45)+ROUND(假设!C23*假设!$B$17,0)/IF(按产品线!C21=0,1,按产品线!C21)*(按产品线!C18*假设!$B$43+按产品线!C19*假设!$B$44+按产品线!C20*假设!$B$45)-ROUND(ROUND(假设!C23*假设!$B$17,0)*假设!$B$12,0)-假设!C24-假设!C25)*(1-假设!$B$8),0)</f>
        <v>45</v>
      </c>
      <c r="D23" s="73" t="n">
        <f aca="false">ROUND((ROUND(通道年单!D5*假设!$B$16*假设!D49,0)/IF(按产品线!D9=0,1,按产品线!D9)*(按产品线!D6*假设!$B$43+按产品线!D7*假设!$B$44+按产品线!D8*假设!$B$45)+ROUND(假设!D23*假设!$B$17,0)/IF(按产品线!D21=0,1,按产品线!D21)*(按产品线!D18*假设!$B$43+按产品线!D19*假设!$B$44+按产品线!D20*假设!$B$45)-ROUND(ROUND(假设!D23*假设!$B$17,0)*假设!$B$12,0)-假设!D24-假设!D25)*(1-假设!$B$8),0)</f>
        <v>398</v>
      </c>
      <c r="E23" s="73" t="n">
        <f aca="false">ROUND((ROUND(通道年单!E5*假设!$B$16*假设!E49,0)/IF(按产品线!E9=0,1,按产品线!E9)*(按产品线!E6*假设!$B$43+按产品线!E7*假设!$B$44+按产品线!E8*假设!$B$45)+ROUND(假设!E23*假设!$B$17,0)/IF(按产品线!E21=0,1,按产品线!E21)*(按产品线!E18*假设!$B$43+按产品线!E19*假设!$B$44+按产品线!E20*假设!$B$45)-ROUND(ROUND(假设!E23*假设!$B$17,0)*假设!$B$12,0)-假设!E24-假设!E25)*(1-假设!$B$8),0)</f>
        <v>714</v>
      </c>
      <c r="F23" s="73" t="n">
        <f aca="false">ROUND((ROUND(通道年单!F5*假设!$B$16*假设!F49,0)/IF(按产品线!F9=0,1,按产品线!F9)*(按产品线!F6*假设!$B$43+按产品线!F7*假设!$B$44+按产品线!F8*假设!$B$45)+ROUND(假设!F23*假设!$B$17,0)/IF(按产品线!F21=0,1,按产品线!F21)*(按产品线!F18*假设!$B$43+按产品线!F19*假设!$B$44+按产品线!F20*假设!$B$45)-ROUND(ROUND(假设!F23*假设!$B$17,0)*假设!$B$12,0)-假设!F24-假设!F25)*(1-假设!$B$8),0)</f>
        <v>1050</v>
      </c>
      <c r="G23" s="73" t="n">
        <f aca="false">ROUND((ROUND(通道年单!G5*假设!$B$16*假设!G49,0)/IF(按产品线!G9=0,1,按产品线!G9)*(按产品线!G6*假设!$B$43+按产品线!G7*假设!$B$44+按产品线!G8*假设!$B$45)+ROUND(假设!G23*假设!$B$17,0)/IF(按产品线!G21=0,1,按产品线!G21)*(按产品线!G18*假设!$B$43+按产品线!G19*假设!$B$44+按产品线!G20*假设!$B$45)-ROUND(ROUND(假设!G23*假设!$B$17,0)*假设!$B$12,0)-假设!G24-假设!G25)*(1-假设!$B$8),0)</f>
        <v>1331</v>
      </c>
      <c r="H23" s="73" t="n">
        <f aca="false">ROUND((ROUND(通道年单!H5*假设!$B$16*假设!H49,0)/IF(按产品线!H9=0,1,按产品线!H9)*(按产品线!H6*假设!$B$43+按产品线!H7*假设!$B$44+按产品线!H8*假设!$B$45)+ROUND(假设!H23*假设!$B$17,0)/IF(按产品线!H21=0,1,按产品线!H21)*(按产品线!H18*假设!$B$43+按产品线!H19*假设!$B$44+按产品线!H20*假设!$B$45)-ROUND(ROUND(假设!H23*假设!$B$17,0)*假设!$B$12,0)-假设!H24-假设!H25)*(1-假设!$B$8),0)</f>
        <v>1633</v>
      </c>
      <c r="I23" s="73" t="n">
        <f aca="false">ROUND((ROUND(通道年单!I5*假设!$B$16*假设!I49,0)/IF(按产品线!I9=0,1,按产品线!I9)*(按产品线!I6*假设!$B$43+按产品线!I7*假设!$B$44+按产品线!I8*假设!$B$45)+ROUND(假设!I23*假设!$B$17,0)/IF(按产品线!I21=0,1,按产品线!I21)*(按产品线!I18*假设!$B$43+按产品线!I19*假设!$B$44+按产品线!I20*假设!$B$45)-ROUND(ROUND(假设!I23*假设!$B$17,0)*假设!$B$12,0)-假设!I24-假设!I25)*(1-假设!$B$8),0)</f>
        <v>1901</v>
      </c>
      <c r="J23" s="15" t="n">
        <f aca="false">SUM(B23:I23)</f>
        <v>6856</v>
      </c>
    </row>
    <row r="24" customFormat="false" ht="15" hidden="false" customHeight="true" outlineLevel="0" collapsed="false">
      <c r="A24" s="12" t="s">
        <v>25</v>
      </c>
      <c r="B24" s="42" t="n">
        <f aca="false">B14</f>
        <v>-106</v>
      </c>
      <c r="C24" s="42" t="n">
        <f aca="false">C14</f>
        <v>519</v>
      </c>
      <c r="D24" s="42" t="n">
        <f aca="false">D14</f>
        <v>1340</v>
      </c>
      <c r="E24" s="42" t="n">
        <f aca="false">E14</f>
        <v>2081</v>
      </c>
      <c r="F24" s="42" t="n">
        <f aca="false">F14</f>
        <v>2870</v>
      </c>
      <c r="G24" s="42" t="n">
        <f aca="false">G14</f>
        <v>3524</v>
      </c>
      <c r="H24" s="42" t="n">
        <f aca="false">H14</f>
        <v>4220</v>
      </c>
      <c r="I24" s="42" t="n">
        <f aca="false">I14</f>
        <v>4844</v>
      </c>
      <c r="J24" s="15" t="n">
        <f aca="false">SUM(B24:I24)</f>
        <v>19292</v>
      </c>
    </row>
    <row r="25" customFormat="false" ht="15" hidden="false" customHeight="true" outlineLevel="0" collapsed="false">
      <c r="A25" s="12" t="s">
        <v>26</v>
      </c>
      <c r="B25" s="73" t="n">
        <f aca="false">ROUND((ROUND(通道年单!B5*假设!$D$16*假设!B49,0)/IF(按产品线!B9=0,1,按产品线!B9)*(按产品线!B6*假设!$B$43+按产品线!B7*假设!$B$44+按产品线!B8*假设!$B$45)+ROUND(假设!B23*假设!$D$17,0)/IF(按产品线!B21=0,1,按产品线!B21)*(按产品线!B18*假设!$B$43+按产品线!B19*假设!$B$44+按产品线!B20*假设!$B$45)-ROUND(ROUND(假设!B23*假设!$D$17,0)*假设!$B$12,0)-假设!B24-假设!B25)*(1-假设!$B$8),0)</f>
        <v>45</v>
      </c>
      <c r="C25" s="73" t="n">
        <f aca="false">ROUND((ROUND(通道年单!C5*假设!$D$16*假设!C49,0)/IF(按产品线!C9=0,1,按产品线!C9)*(按产品线!C6*假设!$B$43+按产品线!C7*假设!$B$44+按产品线!C8*假设!$B$45)+ROUND(假设!C23*假设!$D$17,0)/IF(按产品线!C21=0,1,按产品线!C21)*(按产品线!C18*假设!$B$43+按产品线!C19*假设!$B$44+按产品线!C20*假设!$B$45)-ROUND(ROUND(假设!C23*假设!$D$17,0)*假设!$B$12,0)-假设!C24-假设!C25)*(1-假设!$B$8),0)</f>
        <v>1171</v>
      </c>
      <c r="D25" s="73" t="n">
        <f aca="false">ROUND((ROUND(通道年单!D5*假设!$D$16*假设!D49,0)/IF(按产品线!D9=0,1,按产品线!D9)*(按产品线!D6*假设!$B$43+按产品线!D7*假设!$B$44+按产品线!D8*假设!$B$45)+ROUND(假设!D23*假设!$D$17,0)/IF(按产品线!D21=0,1,按产品线!D21)*(按产品线!D18*假设!$B$43+按产品线!D19*假设!$B$44+按产品线!D20*假设!$B$45)-ROUND(ROUND(假设!D23*假设!$D$17,0)*假设!$B$12,0)-假设!D24-假设!D25)*(1-假设!$B$8),0)</f>
        <v>2635</v>
      </c>
      <c r="E25" s="73" t="n">
        <f aca="false">ROUND((ROUND(通道年单!E5*假设!$D$16*假设!E49,0)/IF(按产品线!E9=0,1,按产品线!E9)*(按产品线!E6*假设!$B$43+按产品线!E7*假设!$B$44+按产品线!E8*假设!$B$45)+ROUND(假设!E23*假设!$D$17,0)/IF(按产品线!E21=0,1,按产品线!E21)*(按产品线!E18*假设!$B$43+按产品线!E19*假设!$B$44+按产品线!E20*假设!$B$45)-ROUND(ROUND(假设!E23*假设!$D$17,0)*假设!$B$12,0)-假设!E24-假设!E25)*(1-假设!$B$8),0)</f>
        <v>3970</v>
      </c>
      <c r="F25" s="73" t="n">
        <f aca="false">ROUND((ROUND(通道年单!F5*假设!$D$16*假设!F49,0)/IF(按产品线!F9=0,1,按产品线!F9)*(按产品线!F6*假设!$B$43+按产品线!F7*假设!$B$44+按产品线!F8*假设!$B$45)+ROUND(假设!F23*假设!$D$17,0)/IF(按产品线!F21=0,1,按产品线!F21)*(按产品线!F18*假设!$B$43+按产品线!F19*假设!$B$44+按产品线!F20*假设!$B$45)-ROUND(ROUND(假设!F23*假设!$D$17,0)*假设!$B$12,0)-假设!F24-假设!F25)*(1-假设!$B$8),0)</f>
        <v>5382</v>
      </c>
      <c r="G25" s="73" t="n">
        <f aca="false">ROUND((ROUND(通道年单!G5*假设!$D$16*假设!G49,0)/IF(按产品线!G9=0,1,按产品线!G9)*(按产品线!G6*假设!$B$43+按产品线!G7*假设!$B$44+按产品线!G8*假设!$B$45)+ROUND(假设!G23*假设!$D$17,0)/IF(按产品线!G21=0,1,按产品线!G21)*(按产品线!G18*假设!$B$43+按产品线!G19*假设!$B$44+按产品线!G20*假设!$B$45)-ROUND(ROUND(假设!G23*假设!$D$17,0)*假设!$B$12,0)-假设!G24-假设!G25)*(1-假设!$B$8),0)</f>
        <v>6547</v>
      </c>
      <c r="H25" s="73" t="n">
        <f aca="false">ROUND((ROUND(通道年单!H5*假设!$D$16*假设!H49,0)/IF(按产品线!H9=0,1,按产品线!H9)*(按产品线!H6*假设!$B$43+按产品线!H7*假设!$B$44+按产品线!H8*假设!$B$45)+ROUND(假设!H23*假设!$D$17,0)/IF(按产品线!H21=0,1,按产品线!H21)*(按产品线!H18*假设!$B$43+按产品线!H19*假设!$B$44+按产品线!H20*假设!$B$45)-ROUND(ROUND(假设!H23*假设!$D$17,0)*假设!$B$12,0)-假设!H24-假设!H25)*(1-假设!$B$8),0)</f>
        <v>7782</v>
      </c>
      <c r="I25" s="73" t="n">
        <f aca="false">ROUND((ROUND(通道年单!I5*假设!$D$16*假设!I49,0)/IF(按产品线!I9=0,1,按产品线!I9)*(按产品线!I6*假设!$B$43+按产品线!I7*假设!$B$44+按产品线!I8*假设!$B$45)+ROUND(假设!I23*假设!$D$17,0)/IF(按产品线!I21=0,1,按产品线!I21)*(按产品线!I18*假设!$B$43+按产品线!I19*假设!$B$44+按产品线!I20*假设!$B$45)-ROUND(ROUND(假设!I23*假设!$D$17,0)*假设!$B$12,0)-假设!I24-假设!I25)*(1-假设!$B$8),0)</f>
        <v>8896</v>
      </c>
      <c r="J25" s="15" t="n">
        <f aca="false">SUM(B25:I25)</f>
        <v>36428</v>
      </c>
    </row>
  </sheetData>
  <mergeCells count="1">
    <mergeCell ref="A1:J1"/>
  </mergeCell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&amp;L&amp;"Calibri,Regular"测算数据不构成收益承诺&amp;R&amp;"Calibri,Regular"协同利润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6A4E20"/>
    <pageSetUpPr fitToPage="true"/>
  </sheetPr>
  <dimension ref="A1:K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7.89453125" defaultRowHeight="15" customHeight="false" zeroHeight="false" outlineLevelRow="0" outlineLevelCol="0"/>
  <cols>
    <col collapsed="false" customWidth="true" hidden="false" outlineLevel="0" max="1" min="1" style="1" width="23.66"/>
    <col collapsed="false" customWidth="true" hidden="false" outlineLevel="0" max="10" min="2" style="1" width="11.83"/>
  </cols>
  <sheetData>
    <row r="1" customFormat="false" ht="21" hidden="false" customHeight="true" outlineLevel="0" collapsed="false">
      <c r="A1" s="2" t="s">
        <v>254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customFormat="false" ht="15" hidden="false" customHeight="true" outlineLevel="0" collapsed="false">
      <c r="A2" s="49" t="s">
        <v>255</v>
      </c>
    </row>
    <row r="4" customFormat="false" ht="15" hidden="false" customHeight="true" outlineLevel="0" collapsed="false">
      <c r="A4" s="5" t="s">
        <v>3</v>
      </c>
      <c r="B4" s="5" t="s">
        <v>46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  <c r="I4" s="5" t="s">
        <v>37</v>
      </c>
      <c r="J4" s="5" t="s">
        <v>38</v>
      </c>
    </row>
    <row r="5" customFormat="false" ht="15" hidden="false" customHeight="true" outlineLevel="0" collapsed="false">
      <c r="A5" s="12" t="s">
        <v>256</v>
      </c>
      <c r="B5" s="42" t="n">
        <f aca="false">假设!B30</f>
        <v>-1500</v>
      </c>
      <c r="C5" s="42" t="n">
        <f aca="false">假设!C30</f>
        <v>281</v>
      </c>
      <c r="D5" s="42" t="n">
        <f aca="false">假设!D30</f>
        <v>782</v>
      </c>
      <c r="E5" s="42" t="n">
        <f aca="false">假设!E30</f>
        <v>438</v>
      </c>
      <c r="F5" s="42" t="n">
        <f aca="false">假设!F30</f>
        <v>78</v>
      </c>
      <c r="G5" s="42" t="n">
        <f aca="false">假设!G30</f>
        <v>115</v>
      </c>
      <c r="H5" s="42" t="n">
        <f aca="false">假设!H30</f>
        <v>3644</v>
      </c>
      <c r="I5" s="42" t="n">
        <f aca="false">假设!I30</f>
        <v>0</v>
      </c>
      <c r="J5" s="42" t="n">
        <f aca="false">假设!J30</f>
        <v>0</v>
      </c>
    </row>
    <row r="6" customFormat="false" ht="15" hidden="false" customHeight="true" outlineLevel="0" collapsed="false">
      <c r="A6" s="12" t="s">
        <v>257</v>
      </c>
      <c r="B6" s="65" t="n">
        <v>0</v>
      </c>
      <c r="C6" s="42" t="n">
        <f aca="false">协同利润!B24</f>
        <v>-106</v>
      </c>
      <c r="D6" s="42" t="n">
        <f aca="false">协同利润!C24</f>
        <v>519</v>
      </c>
      <c r="E6" s="42" t="n">
        <f aca="false">协同利润!D24</f>
        <v>1340</v>
      </c>
      <c r="F6" s="42" t="n">
        <f aca="false">协同利润!E24</f>
        <v>2081</v>
      </c>
      <c r="G6" s="42" t="n">
        <f aca="false">协同利润!F24</f>
        <v>2870</v>
      </c>
      <c r="H6" s="42" t="n">
        <f aca="false">协同利润!G24</f>
        <v>3524</v>
      </c>
      <c r="I6" s="42" t="n">
        <f aca="false">协同利润!H24</f>
        <v>4220</v>
      </c>
      <c r="J6" s="42" t="n">
        <f aca="false">协同利润!I24</f>
        <v>4844</v>
      </c>
    </row>
    <row r="7" customFormat="false" ht="15" hidden="false" customHeight="true" outlineLevel="0" collapsed="false">
      <c r="A7" s="16" t="s">
        <v>258</v>
      </c>
      <c r="B7" s="15" t="n">
        <f aca="false">B5+B6</f>
        <v>-1500</v>
      </c>
      <c r="C7" s="15" t="n">
        <f aca="false">C5+C6</f>
        <v>175</v>
      </c>
      <c r="D7" s="15" t="n">
        <f aca="false">D5+D6</f>
        <v>1301</v>
      </c>
      <c r="E7" s="15" t="n">
        <f aca="false">E5+E6</f>
        <v>1778</v>
      </c>
      <c r="F7" s="15" t="n">
        <f aca="false">F5+F6</f>
        <v>2159</v>
      </c>
      <c r="G7" s="15" t="n">
        <f aca="false">G5+G6</f>
        <v>2985</v>
      </c>
      <c r="H7" s="15" t="n">
        <f aca="false">H5+H6</f>
        <v>7168</v>
      </c>
      <c r="I7" s="15" t="n">
        <f aca="false">I5+I6</f>
        <v>4220</v>
      </c>
      <c r="J7" s="15" t="n">
        <f aca="false">J5+J6</f>
        <v>4844</v>
      </c>
    </row>
    <row r="9" customFormat="false" ht="15" hidden="false" customHeight="true" outlineLevel="0" collapsed="false">
      <c r="A9" s="12" t="s">
        <v>259</v>
      </c>
      <c r="B9" s="42" t="n">
        <f aca="false">假设!B29</f>
        <v>-1500</v>
      </c>
      <c r="C9" s="42" t="n">
        <f aca="false">假设!C29</f>
        <v>150</v>
      </c>
      <c r="D9" s="42" t="n">
        <f aca="false">假设!D29</f>
        <v>490</v>
      </c>
      <c r="E9" s="42" t="n">
        <f aca="false">假设!E29</f>
        <v>860</v>
      </c>
      <c r="F9" s="42" t="n">
        <f aca="false">假设!F29</f>
        <v>60</v>
      </c>
      <c r="G9" s="42" t="n">
        <f aca="false">假设!G29</f>
        <v>62</v>
      </c>
      <c r="H9" s="42" t="n">
        <f aca="false">假设!H29</f>
        <v>62</v>
      </c>
      <c r="I9" s="42" t="n">
        <f aca="false">假设!I29</f>
        <v>62</v>
      </c>
      <c r="J9" s="42" t="n">
        <f aca="false">假设!J29</f>
        <v>2943</v>
      </c>
    </row>
    <row r="10" customFormat="false" ht="15" hidden="false" customHeight="true" outlineLevel="0" collapsed="false">
      <c r="A10" s="12" t="s">
        <v>260</v>
      </c>
      <c r="B10" s="65" t="n">
        <v>0</v>
      </c>
      <c r="C10" s="42" t="n">
        <f aca="false">协同利润!B23</f>
        <v>-216</v>
      </c>
      <c r="D10" s="42" t="n">
        <f aca="false">协同利润!C23</f>
        <v>45</v>
      </c>
      <c r="E10" s="42" t="n">
        <f aca="false">协同利润!D23</f>
        <v>398</v>
      </c>
      <c r="F10" s="42" t="n">
        <f aca="false">协同利润!E23</f>
        <v>714</v>
      </c>
      <c r="G10" s="42" t="n">
        <f aca="false">协同利润!F23</f>
        <v>1050</v>
      </c>
      <c r="H10" s="42" t="n">
        <f aca="false">协同利润!G23</f>
        <v>1331</v>
      </c>
      <c r="I10" s="42" t="n">
        <f aca="false">协同利润!H23</f>
        <v>1633</v>
      </c>
      <c r="J10" s="42" t="n">
        <f aca="false">协同利润!I23</f>
        <v>1901</v>
      </c>
    </row>
    <row r="11" customFormat="false" ht="15" hidden="false" customHeight="true" outlineLevel="0" collapsed="false">
      <c r="A11" s="16" t="s">
        <v>261</v>
      </c>
      <c r="B11" s="15" t="n">
        <f aca="false">B9+B10</f>
        <v>-1500</v>
      </c>
      <c r="C11" s="15" t="n">
        <f aca="false">C9+C10</f>
        <v>-66</v>
      </c>
      <c r="D11" s="15" t="n">
        <f aca="false">D9+D10</f>
        <v>535</v>
      </c>
      <c r="E11" s="15" t="n">
        <f aca="false">E9+E10</f>
        <v>1258</v>
      </c>
      <c r="F11" s="15" t="n">
        <f aca="false">F9+F10</f>
        <v>774</v>
      </c>
      <c r="G11" s="15" t="n">
        <f aca="false">G9+G10</f>
        <v>1112</v>
      </c>
      <c r="H11" s="15" t="n">
        <f aca="false">H9+H10</f>
        <v>1393</v>
      </c>
      <c r="I11" s="15" t="n">
        <f aca="false">I9+I10</f>
        <v>1695</v>
      </c>
      <c r="J11" s="15" t="n">
        <f aca="false">J9+J10</f>
        <v>4844</v>
      </c>
    </row>
    <row r="13" customFormat="false" ht="15" hidden="false" customHeight="true" outlineLevel="0" collapsed="false">
      <c r="A13" s="12" t="s">
        <v>262</v>
      </c>
      <c r="B13" s="42" t="n">
        <f aca="false">假设!B31</f>
        <v>-1500</v>
      </c>
      <c r="C13" s="42" t="n">
        <f aca="false">假设!C31</f>
        <v>850</v>
      </c>
      <c r="D13" s="42" t="n">
        <f aca="false">假设!D31</f>
        <v>650</v>
      </c>
      <c r="E13" s="42" t="n">
        <f aca="false">假设!E31</f>
        <v>20</v>
      </c>
      <c r="F13" s="42" t="n">
        <f aca="false">假设!F31</f>
        <v>40</v>
      </c>
      <c r="G13" s="42" t="n">
        <f aca="false">假设!G31</f>
        <v>4123</v>
      </c>
      <c r="H13" s="42" t="n">
        <f aca="false">假设!H31</f>
        <v>0</v>
      </c>
      <c r="I13" s="42" t="n">
        <f aca="false">假设!I31</f>
        <v>0</v>
      </c>
      <c r="J13" s="42" t="n">
        <f aca="false">假设!J31</f>
        <v>0</v>
      </c>
    </row>
    <row r="14" customFormat="false" ht="15" hidden="false" customHeight="true" outlineLevel="0" collapsed="false">
      <c r="A14" s="12" t="s">
        <v>263</v>
      </c>
      <c r="B14" s="65" t="n">
        <v>0</v>
      </c>
      <c r="C14" s="42" t="n">
        <f aca="false">协同利润!B25</f>
        <v>45</v>
      </c>
      <c r="D14" s="42" t="n">
        <f aca="false">协同利润!C25</f>
        <v>1171</v>
      </c>
      <c r="E14" s="42" t="n">
        <f aca="false">协同利润!D25</f>
        <v>2635</v>
      </c>
      <c r="F14" s="42" t="n">
        <f aca="false">协同利润!E25</f>
        <v>3970</v>
      </c>
      <c r="G14" s="42" t="n">
        <f aca="false">协同利润!F25</f>
        <v>5382</v>
      </c>
      <c r="H14" s="42" t="n">
        <f aca="false">协同利润!G25</f>
        <v>6547</v>
      </c>
      <c r="I14" s="42" t="n">
        <f aca="false">协同利润!H25</f>
        <v>7782</v>
      </c>
      <c r="J14" s="42" t="n">
        <f aca="false">协同利润!I25</f>
        <v>8896</v>
      </c>
    </row>
    <row r="15" customFormat="false" ht="15" hidden="false" customHeight="true" outlineLevel="0" collapsed="false">
      <c r="A15" s="16" t="s">
        <v>264</v>
      </c>
      <c r="B15" s="15" t="n">
        <f aca="false">B13+B14</f>
        <v>-1500</v>
      </c>
      <c r="C15" s="15" t="n">
        <f aca="false">C13+C14</f>
        <v>895</v>
      </c>
      <c r="D15" s="15" t="n">
        <f aca="false">D13+D14</f>
        <v>1821</v>
      </c>
      <c r="E15" s="15" t="n">
        <f aca="false">E13+E14</f>
        <v>2655</v>
      </c>
      <c r="F15" s="15" t="n">
        <f aca="false">F13+F14</f>
        <v>4010</v>
      </c>
      <c r="G15" s="15" t="n">
        <f aca="false">G13+G14</f>
        <v>9505</v>
      </c>
      <c r="H15" s="15" t="n">
        <f aca="false">H13+H14</f>
        <v>6547</v>
      </c>
      <c r="I15" s="15" t="n">
        <f aca="false">I13+I14</f>
        <v>7782</v>
      </c>
      <c r="J15" s="15" t="n">
        <f aca="false">J13+J14</f>
        <v>8896</v>
      </c>
    </row>
    <row r="17" customFormat="false" ht="15" hidden="false" customHeight="true" outlineLevel="0" collapsed="false">
      <c r="A17" s="4" t="s">
        <v>265</v>
      </c>
    </row>
    <row r="18" customFormat="false" ht="15" hidden="false" customHeight="true" outlineLevel="0" collapsed="false">
      <c r="A18" s="5" t="s">
        <v>266</v>
      </c>
      <c r="B18" s="5" t="s">
        <v>24</v>
      </c>
      <c r="C18" s="5" t="s">
        <v>25</v>
      </c>
      <c r="D18" s="5" t="s">
        <v>26</v>
      </c>
    </row>
    <row r="19" customFormat="false" ht="15" hidden="false" customHeight="true" outlineLevel="0" collapsed="false">
      <c r="A19" s="12" t="s">
        <v>267</v>
      </c>
      <c r="B19" s="42" t="n">
        <f aca="false">SUM(C9:J9)</f>
        <v>4689</v>
      </c>
      <c r="C19" s="42" t="n">
        <f aca="false">SUM(C5:J5)</f>
        <v>5338</v>
      </c>
      <c r="D19" s="42" t="n">
        <f aca="false">SUM(C13:J13)</f>
        <v>5683</v>
      </c>
    </row>
    <row r="20" customFormat="false" ht="15" hidden="false" customHeight="true" outlineLevel="0" collapsed="false">
      <c r="A20" s="12" t="s">
        <v>268</v>
      </c>
      <c r="B20" s="65" t="n">
        <f aca="false">SUM(B9:J9)</f>
        <v>3189</v>
      </c>
      <c r="C20" s="65" t="n">
        <f aca="false">SUM(B5:J5)</f>
        <v>3838</v>
      </c>
      <c r="D20" s="65" t="n">
        <f aca="false">SUM(B13:J13)</f>
        <v>4183</v>
      </c>
    </row>
    <row r="21" customFormat="false" ht="15" hidden="false" customHeight="true" outlineLevel="0" collapsed="false">
      <c r="A21" s="12" t="s">
        <v>269</v>
      </c>
      <c r="B21" s="75" t="n">
        <f aca="false">B19/假设!$B$6</f>
        <v>3.126</v>
      </c>
      <c r="C21" s="75" t="n">
        <f aca="false">C19/假设!$B$6</f>
        <v>3.55866666666667</v>
      </c>
      <c r="D21" s="75" t="n">
        <f aca="false">D19/假设!$B$6</f>
        <v>3.78866666666667</v>
      </c>
    </row>
    <row r="22" customFormat="false" ht="15" hidden="false" customHeight="true" outlineLevel="0" collapsed="false">
      <c r="A22" s="12" t="s">
        <v>270</v>
      </c>
      <c r="B22" s="67" t="n">
        <f aca="false">IRR(B9:J9)</f>
        <v>0.239001305234864</v>
      </c>
      <c r="C22" s="67" t="n">
        <f aca="false">IRR(B5:H5)</f>
        <v>0.341788793402188</v>
      </c>
      <c r="D22" s="67" t="n">
        <f aca="false">IRR(B13:G13)</f>
        <v>0.468115419536192</v>
      </c>
    </row>
    <row r="23" customFormat="false" ht="15" hidden="false" customHeight="true" outlineLevel="0" collapsed="false">
      <c r="A23" s="12" t="s">
        <v>252</v>
      </c>
      <c r="B23" s="42" t="n">
        <f aca="false">协同利润!J23</f>
        <v>6856</v>
      </c>
      <c r="C23" s="42" t="n">
        <f aca="false">协同利润!J24</f>
        <v>19292</v>
      </c>
      <c r="D23" s="42" t="n">
        <f aca="false">协同利润!J25</f>
        <v>36428</v>
      </c>
    </row>
    <row r="24" customFormat="false" ht="15" hidden="false" customHeight="true" outlineLevel="0" collapsed="false">
      <c r="A24" s="16" t="s">
        <v>271</v>
      </c>
      <c r="B24" s="15" t="n">
        <f aca="false">B20+B23</f>
        <v>10045</v>
      </c>
      <c r="C24" s="15" t="n">
        <f aca="false">C20+C23</f>
        <v>23130</v>
      </c>
      <c r="D24" s="15" t="n">
        <f aca="false">D20+D23</f>
        <v>40611</v>
      </c>
    </row>
    <row r="25" customFormat="false" ht="15" hidden="false" customHeight="true" outlineLevel="0" collapsed="false">
      <c r="A25" s="16" t="s">
        <v>272</v>
      </c>
      <c r="B25" s="76" t="n">
        <f aca="false">(B19+B23)/假设!$B$6</f>
        <v>7.69666666666667</v>
      </c>
      <c r="C25" s="76" t="n">
        <f aca="false">(C19+C23)/假设!$B$6</f>
        <v>16.42</v>
      </c>
      <c r="D25" s="76" t="n">
        <f aca="false">(D19+D23)/假设!$B$6</f>
        <v>28.074</v>
      </c>
    </row>
    <row r="26" customFormat="false" ht="15" hidden="false" customHeight="true" outlineLevel="0" collapsed="false">
      <c r="A26" s="16" t="s">
        <v>273</v>
      </c>
      <c r="B26" s="64" t="n">
        <f aca="false">IRR(B11:J11)</f>
        <v>0.448707051715593</v>
      </c>
      <c r="C26" s="64" t="n">
        <f aca="false">IRR(B7:J7)</f>
        <v>0.797051952143624</v>
      </c>
      <c r="D26" s="64" t="n">
        <f aca="false">IRR(B15:J15)</f>
        <v>1.19644231946642</v>
      </c>
    </row>
    <row r="27" customFormat="false" ht="15" hidden="false" customHeight="true" outlineLevel="0" collapsed="false">
      <c r="A27" s="12" t="s">
        <v>274</v>
      </c>
      <c r="B27" s="67" t="n">
        <f aca="false">IF(B24=0,0,B23/B24)</f>
        <v>0.682528621204579</v>
      </c>
      <c r="C27" s="67" t="n">
        <f aca="false">IF(C24=0,0,C23/C24)</f>
        <v>0.834068309554691</v>
      </c>
      <c r="D27" s="67" t="n">
        <f aca="false">IF(D24=0,0,D23/D24)</f>
        <v>0.896998350200685</v>
      </c>
    </row>
    <row r="29" customFormat="false" ht="15" hidden="false" customHeight="true" outlineLevel="0" collapsed="false">
      <c r="A29" s="3" t="s">
        <v>275</v>
      </c>
      <c r="B29" s="3"/>
      <c r="C29" s="3"/>
      <c r="D29" s="3"/>
      <c r="E29" s="3"/>
      <c r="F29" s="3"/>
      <c r="G29" s="3"/>
      <c r="H29" s="3"/>
      <c r="I29" s="3"/>
      <c r="J29" s="3"/>
    </row>
  </sheetData>
  <mergeCells count="2">
    <mergeCell ref="A1:K1"/>
    <mergeCell ref="A29:J29"/>
  </mergeCell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&amp;L&amp;"Calibri,Regular"测算数据不构成收益承诺&amp;R&amp;"Calibri,Regular"综合收益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7A3226"/>
    <pageSetUpPr fitToPage="true"/>
  </sheetPr>
  <dimension ref="A1:D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7.89453125" defaultRowHeight="15" customHeight="false" zeroHeight="false" outlineLevelRow="0" outlineLevelCol="0"/>
  <cols>
    <col collapsed="false" customWidth="true" hidden="false" outlineLevel="0" max="1" min="1" style="1" width="20.01"/>
    <col collapsed="false" customWidth="true" hidden="false" outlineLevel="0" max="4" min="2" style="1" width="12.74"/>
  </cols>
  <sheetData>
    <row r="1" customFormat="false" ht="21" hidden="false" customHeight="true" outlineLevel="0" collapsed="false">
      <c r="A1" s="2" t="s">
        <v>276</v>
      </c>
      <c r="B1" s="2"/>
      <c r="C1" s="2"/>
      <c r="D1" s="2"/>
    </row>
    <row r="2" customFormat="false" ht="15" hidden="false" customHeight="true" outlineLevel="0" collapsed="false">
      <c r="A2" s="49" t="s">
        <v>277</v>
      </c>
    </row>
    <row r="4" customFormat="false" ht="15" hidden="false" customHeight="true" outlineLevel="0" collapsed="false">
      <c r="A4" s="5" t="s">
        <v>278</v>
      </c>
      <c r="B4" s="32" t="s">
        <v>279</v>
      </c>
      <c r="C4" s="32" t="s">
        <v>280</v>
      </c>
      <c r="D4" s="32" t="s">
        <v>281</v>
      </c>
    </row>
    <row r="5" customFormat="false" ht="15" hidden="false" customHeight="true" outlineLevel="0" collapsed="false">
      <c r="A5" s="77" t="n">
        <v>0.5</v>
      </c>
      <c r="B5" s="65" t="n">
        <f aca="false">ROUND((ROUND(ROUND(假设!B22*0.5,0)*假设!$B$9,0)*假设!$B$10+ROUND(假设!B23*0.5,0)*假设!$B$11-ROUND(ROUND(假设!B23*0.5,0)*假设!$B$12,0)-假设!B24-假设!B25)*(1-假设!$B$8),0)+ROUND((ROUND(ROUND(假设!C22*0.5,0)*假设!$B$9,0)*假设!$B$10+ROUND(假设!C23*0.5,0)*假设!$B$11-ROUND(ROUND(假设!C23*0.5,0)*假设!$B$12,0)-假设!C24-假设!C25)*(1-假设!$B$8),0)+ROUND((ROUND(ROUND(假设!D22*0.5,0)*假设!$B$9,0)*假设!$B$10+ROUND(假设!D23*0.5,0)*假设!$B$11-ROUND(ROUND(假设!D23*0.5,0)*假设!$B$12,0)-假设!D24-假设!D25)*(1-假设!$B$8),0)+ROUND((ROUND(ROUND(假设!E22*0.5,0)*假设!$B$9,0)*假设!$B$10+ROUND(假设!E23*0.5,0)*假设!$B$11-ROUND(ROUND(假设!E23*0.5,0)*假设!$B$12,0)-假设!E24-假设!E25)*(1-假设!$B$8),0)+ROUND((ROUND(ROUND(假设!F22*0.5,0)*假设!$B$9,0)*假设!$B$10+ROUND(假设!F23*0.5,0)*假设!$B$11-ROUND(ROUND(假设!F23*0.5,0)*假设!$B$12,0)-假设!F24-假设!F25)*(1-假设!$B$8),0)+ROUND((ROUND(ROUND(假设!G22*0.5,0)*假设!$B$9,0)*假设!$B$10+ROUND(假设!G23*0.5,0)*假设!$B$11-ROUND(ROUND(假设!G23*0.5,0)*假设!$B$12,0)-假设!G24-假设!G25)*(1-假设!$B$8),0)+ROUND((ROUND(ROUND(假设!H22*0.5,0)*假设!$B$9,0)*假设!$B$10+ROUND(假设!H23*0.5,0)*假设!$B$11-ROUND(ROUND(假设!H23*0.5,0)*假设!$B$12,0)-假设!H24-假设!H25)*(1-假设!$B$8),0)+ROUND((ROUND(ROUND(假设!I22*0.5,0)*假设!$B$9,0)*假设!$B$10+ROUND(假设!I23*0.5,0)*假设!$B$11-ROUND(ROUND(假设!I23*0.5,0)*假设!$B$12,0)-假设!I24-假设!I25)*(1-假设!$B$8),0)</f>
        <v>6786</v>
      </c>
      <c r="C5" s="65" t="n">
        <f aca="false">ROUND((ROUND(ROUND(假设!B22*0.5,0)*假设!$B$9,0)*假设!$B$10+ROUND(假设!B23*1,0)*假设!$B$11-ROUND(ROUND(假设!B23*1,0)*假设!$B$12,0)-假设!B24-假设!B25)*(1-假设!$B$8),0)+ROUND((ROUND(ROUND(假设!C22*0.5,0)*假设!$B$9,0)*假设!$B$10+ROUND(假设!C23*1,0)*假设!$B$11-ROUND(ROUND(假设!C23*1,0)*假设!$B$12,0)-假设!C24-假设!C25)*(1-假设!$B$8),0)+ROUND((ROUND(ROUND(假设!D22*0.5,0)*假设!$B$9,0)*假设!$B$10+ROUND(假设!D23*1,0)*假设!$B$11-ROUND(ROUND(假设!D23*1,0)*假设!$B$12,0)-假设!D24-假设!D25)*(1-假设!$B$8),0)+ROUND((ROUND(ROUND(假设!E22*0.5,0)*假设!$B$9,0)*假设!$B$10+ROUND(假设!E23*1,0)*假设!$B$11-ROUND(ROUND(假设!E23*1,0)*假设!$B$12,0)-假设!E24-假设!E25)*(1-假设!$B$8),0)+ROUND((ROUND(ROUND(假设!F22*0.5,0)*假设!$B$9,0)*假设!$B$10+ROUND(假设!F23*1,0)*假设!$B$11-ROUND(ROUND(假设!F23*1,0)*假设!$B$12,0)-假设!F24-假设!F25)*(1-假设!$B$8),0)+ROUND((ROUND(ROUND(假设!G22*0.5,0)*假设!$B$9,0)*假设!$B$10+ROUND(假设!G23*1,0)*假设!$B$11-ROUND(ROUND(假设!G23*1,0)*假设!$B$12,0)-假设!G24-假设!G25)*(1-假设!$B$8),0)+ROUND((ROUND(ROUND(假设!H22*0.5,0)*假设!$B$9,0)*假设!$B$10+ROUND(假设!H23*1,0)*假设!$B$11-ROUND(ROUND(假设!H23*1,0)*假设!$B$12,0)-假设!H24-假设!H25)*(1-假设!$B$8),0)+ROUND((ROUND(ROUND(假设!I22*0.5,0)*假设!$B$9,0)*假设!$B$10+ROUND(假设!I23*1,0)*假设!$B$11-ROUND(ROUND(假设!I23*1,0)*假设!$B$12,0)-假设!I24-假设!I25)*(1-假设!$B$8),0)</f>
        <v>11297</v>
      </c>
      <c r="D5" s="65" t="n">
        <f aca="false">ROUND((ROUND(ROUND(假设!B22*0.5,0)*假设!$B$9,0)*假设!$B$10+ROUND(假设!B23*1.5,0)*假设!$B$11-ROUND(ROUND(假设!B23*1.5,0)*假设!$B$12,0)-假设!B24-假设!B25)*(1-假设!$B$8),0)+ROUND((ROUND(ROUND(假设!C22*0.5,0)*假设!$B$9,0)*假设!$B$10+ROUND(假设!C23*1.5,0)*假设!$B$11-ROUND(ROUND(假设!C23*1.5,0)*假设!$B$12,0)-假设!C24-假设!C25)*(1-假设!$B$8),0)+ROUND((ROUND(ROUND(假设!D22*0.5,0)*假设!$B$9,0)*假设!$B$10+ROUND(假设!D23*1.5,0)*假设!$B$11-ROUND(ROUND(假设!D23*1.5,0)*假设!$B$12,0)-假设!D24-假设!D25)*(1-假设!$B$8),0)+ROUND((ROUND(ROUND(假设!E22*0.5,0)*假设!$B$9,0)*假设!$B$10+ROUND(假设!E23*1.5,0)*假设!$B$11-ROUND(ROUND(假设!E23*1.5,0)*假设!$B$12,0)-假设!E24-假设!E25)*(1-假设!$B$8),0)+ROUND((ROUND(ROUND(假设!F22*0.5,0)*假设!$B$9,0)*假设!$B$10+ROUND(假设!F23*1.5,0)*假设!$B$11-ROUND(ROUND(假设!F23*1.5,0)*假设!$B$12,0)-假设!F24-假设!F25)*(1-假设!$B$8),0)+ROUND((ROUND(ROUND(假设!G22*0.5,0)*假设!$B$9,0)*假设!$B$10+ROUND(假设!G23*1.5,0)*假设!$B$11-ROUND(ROUND(假设!G23*1.5,0)*假设!$B$12,0)-假设!G24-假设!G25)*(1-假设!$B$8),0)+ROUND((ROUND(ROUND(假设!H22*0.5,0)*假设!$B$9,0)*假设!$B$10+ROUND(假设!H23*1.5,0)*假设!$B$11-ROUND(ROUND(假设!H23*1.5,0)*假设!$B$12,0)-假设!H24-假设!H25)*(1-假设!$B$8),0)+ROUND((ROUND(ROUND(假设!I22*0.5,0)*假设!$B$9,0)*假设!$B$10+ROUND(假设!I23*1.5,0)*假设!$B$11-ROUND(ROUND(假设!I23*1.5,0)*假设!$B$12,0)-假设!I24-假设!I25)*(1-假设!$B$8),0)</f>
        <v>15810</v>
      </c>
    </row>
    <row r="6" customFormat="false" ht="15" hidden="false" customHeight="true" outlineLevel="0" collapsed="false">
      <c r="A6" s="77" t="n">
        <v>1</v>
      </c>
      <c r="B6" s="65" t="n">
        <f aca="false">ROUND((ROUND(ROUND(假设!B22*1,0)*假设!$B$9,0)*假设!$B$10+ROUND(假设!B23*0.5,0)*假设!$B$11-ROUND(ROUND(假设!B23*0.5,0)*假设!$B$12,0)-假设!B24-假设!B25)*(1-假设!$B$8),0)+ROUND((ROUND(ROUND(假设!C22*1,0)*假设!$B$9,0)*假设!$B$10+ROUND(假设!C23*0.5,0)*假设!$B$11-ROUND(ROUND(假设!C23*0.5,0)*假设!$B$12,0)-假设!C24-假设!C25)*(1-假设!$B$8),0)+ROUND((ROUND(ROUND(假设!D22*1,0)*假设!$B$9,0)*假设!$B$10+ROUND(假设!D23*0.5,0)*假设!$B$11-ROUND(ROUND(假设!D23*0.5,0)*假设!$B$12,0)-假设!D24-假设!D25)*(1-假设!$B$8),0)+ROUND((ROUND(ROUND(假设!E22*1,0)*假设!$B$9,0)*假设!$B$10+ROUND(假设!E23*0.5,0)*假设!$B$11-ROUND(ROUND(假设!E23*0.5,0)*假设!$B$12,0)-假设!E24-假设!E25)*(1-假设!$B$8),0)+ROUND((ROUND(ROUND(假设!F22*1,0)*假设!$B$9,0)*假设!$B$10+ROUND(假设!F23*0.5,0)*假设!$B$11-ROUND(ROUND(假设!F23*0.5,0)*假设!$B$12,0)-假设!F24-假设!F25)*(1-假设!$B$8),0)+ROUND((ROUND(ROUND(假设!G22*1,0)*假设!$B$9,0)*假设!$B$10+ROUND(假设!G23*0.5,0)*假设!$B$11-ROUND(ROUND(假设!G23*0.5,0)*假设!$B$12,0)-假设!G24-假设!G25)*(1-假设!$B$8),0)+ROUND((ROUND(ROUND(假设!H22*1,0)*假设!$B$9,0)*假设!$B$10+ROUND(假设!H23*0.5,0)*假设!$B$11-ROUND(ROUND(假设!H23*0.5,0)*假设!$B$12,0)-假设!H24-假设!H25)*(1-假设!$B$8),0)+ROUND((ROUND(ROUND(假设!I22*1,0)*假设!$B$9,0)*假设!$B$10+ROUND(假设!I23*0.5,0)*假设!$B$11-ROUND(ROUND(假设!I23*0.5,0)*假设!$B$12,0)-假设!I24-假设!I25)*(1-假设!$B$8),0)</f>
        <v>14251</v>
      </c>
      <c r="C6" s="78" t="n">
        <f aca="false">ROUND((ROUND(ROUND(假设!B22*1,0)*假设!$B$9,0)*假设!$B$10+ROUND(假设!B23*1,0)*假设!$B$11-ROUND(ROUND(假设!B23*1,0)*假设!$B$12,0)-假设!B24-假设!B25)*(1-假设!$B$8),0)+ROUND((ROUND(ROUND(假设!C22*1,0)*假设!$B$9,0)*假设!$B$10+ROUND(假设!C23*1,0)*假设!$B$11-ROUND(ROUND(假设!C23*1,0)*假设!$B$12,0)-假设!C24-假设!C25)*(1-假设!$B$8),0)+ROUND((ROUND(ROUND(假设!D22*1,0)*假设!$B$9,0)*假设!$B$10+ROUND(假设!D23*1,0)*假设!$B$11-ROUND(ROUND(假设!D23*1,0)*假设!$B$12,0)-假设!D24-假设!D25)*(1-假设!$B$8),0)+ROUND((ROUND(ROUND(假设!E22*1,0)*假设!$B$9,0)*假设!$B$10+ROUND(假设!E23*1,0)*假设!$B$11-ROUND(ROUND(假设!E23*1,0)*假设!$B$12,0)-假设!E24-假设!E25)*(1-假设!$B$8),0)+ROUND((ROUND(ROUND(假设!F22*1,0)*假设!$B$9,0)*假设!$B$10+ROUND(假设!F23*1,0)*假设!$B$11-ROUND(ROUND(假设!F23*1,0)*假设!$B$12,0)-假设!F24-假设!F25)*(1-假设!$B$8),0)+ROUND((ROUND(ROUND(假设!G22*1,0)*假设!$B$9,0)*假设!$B$10+ROUND(假设!G23*1,0)*假设!$B$11-ROUND(ROUND(假设!G23*1,0)*假设!$B$12,0)-假设!G24-假设!G25)*(1-假设!$B$8),0)+ROUND((ROUND(ROUND(假设!H22*1,0)*假设!$B$9,0)*假设!$B$10+ROUND(假设!H23*1,0)*假设!$B$11-ROUND(ROUND(假设!H23*1,0)*假设!$B$12,0)-假设!H24-假设!H25)*(1-假设!$B$8),0)+ROUND((ROUND(ROUND(假设!I22*1,0)*假设!$B$9,0)*假设!$B$10+ROUND(假设!I23*1,0)*假设!$B$11-ROUND(ROUND(假设!I23*1,0)*假设!$B$12,0)-假设!I24-假设!I25)*(1-假设!$B$8),0)</f>
        <v>18763</v>
      </c>
      <c r="D6" s="65" t="n">
        <f aca="false">ROUND((ROUND(ROUND(假设!B22*1,0)*假设!$B$9,0)*假设!$B$10+ROUND(假设!B23*1.5,0)*假设!$B$11-ROUND(ROUND(假设!B23*1.5,0)*假设!$B$12,0)-假设!B24-假设!B25)*(1-假设!$B$8),0)+ROUND((ROUND(ROUND(假设!C22*1,0)*假设!$B$9,0)*假设!$B$10+ROUND(假设!C23*1.5,0)*假设!$B$11-ROUND(ROUND(假设!C23*1.5,0)*假设!$B$12,0)-假设!C24-假设!C25)*(1-假设!$B$8),0)+ROUND((ROUND(ROUND(假设!D22*1,0)*假设!$B$9,0)*假设!$B$10+ROUND(假设!D23*1.5,0)*假设!$B$11-ROUND(ROUND(假设!D23*1.5,0)*假设!$B$12,0)-假设!D24-假设!D25)*(1-假设!$B$8),0)+ROUND((ROUND(ROUND(假设!E22*1,0)*假设!$B$9,0)*假设!$B$10+ROUND(假设!E23*1.5,0)*假设!$B$11-ROUND(ROUND(假设!E23*1.5,0)*假设!$B$12,0)-假设!E24-假设!E25)*(1-假设!$B$8),0)+ROUND((ROUND(ROUND(假设!F22*1,0)*假设!$B$9,0)*假设!$B$10+ROUND(假设!F23*1.5,0)*假设!$B$11-ROUND(ROUND(假设!F23*1.5,0)*假设!$B$12,0)-假设!F24-假设!F25)*(1-假设!$B$8),0)+ROUND((ROUND(ROUND(假设!G22*1,0)*假设!$B$9,0)*假设!$B$10+ROUND(假设!G23*1.5,0)*假设!$B$11-ROUND(ROUND(假设!G23*1.5,0)*假设!$B$12,0)-假设!G24-假设!G25)*(1-假设!$B$8),0)+ROUND((ROUND(ROUND(假设!H22*1,0)*假设!$B$9,0)*假设!$B$10+ROUND(假设!H23*1.5,0)*假设!$B$11-ROUND(ROUND(假设!H23*1.5,0)*假设!$B$12,0)-假设!H24-假设!H25)*(1-假设!$B$8),0)+ROUND((ROUND(ROUND(假设!I22*1,0)*假设!$B$9,0)*假设!$B$10+ROUND(假设!I23*1.5,0)*假设!$B$11-ROUND(ROUND(假设!I23*1.5,0)*假设!$B$12,0)-假设!I24-假设!I25)*(1-假设!$B$8),0)</f>
        <v>23277</v>
      </c>
    </row>
    <row r="7" customFormat="false" ht="15" hidden="false" customHeight="true" outlineLevel="0" collapsed="false">
      <c r="A7" s="77" t="n">
        <v>1.5</v>
      </c>
      <c r="B7" s="65" t="n">
        <f aca="false">ROUND((ROUND(ROUND(假设!B22*1.5,0)*假设!$B$9,0)*假设!$B$10+ROUND(假设!B23*0.5,0)*假设!$B$11-ROUND(ROUND(假设!B23*0.5,0)*假设!$B$12,0)-假设!B24-假设!B25)*(1-假设!$B$8),0)+ROUND((ROUND(ROUND(假设!C22*1.5,0)*假设!$B$9,0)*假设!$B$10+ROUND(假设!C23*0.5,0)*假设!$B$11-ROUND(ROUND(假设!C23*0.5,0)*假设!$B$12,0)-假设!C24-假设!C25)*(1-假设!$B$8),0)+ROUND((ROUND(ROUND(假设!D22*1.5,0)*假设!$B$9,0)*假设!$B$10+ROUND(假设!D23*0.5,0)*假设!$B$11-ROUND(ROUND(假设!D23*0.5,0)*假设!$B$12,0)-假设!D24-假设!D25)*(1-假设!$B$8),0)+ROUND((ROUND(ROUND(假设!E22*1.5,0)*假设!$B$9,0)*假设!$B$10+ROUND(假设!E23*0.5,0)*假设!$B$11-ROUND(ROUND(假设!E23*0.5,0)*假设!$B$12,0)-假设!E24-假设!E25)*(1-假设!$B$8),0)+ROUND((ROUND(ROUND(假设!F22*1.5,0)*假设!$B$9,0)*假设!$B$10+ROUND(假设!F23*0.5,0)*假设!$B$11-ROUND(ROUND(假设!F23*0.5,0)*假设!$B$12,0)-假设!F24-假设!F25)*(1-假设!$B$8),0)+ROUND((ROUND(ROUND(假设!G22*1.5,0)*假设!$B$9,0)*假设!$B$10+ROUND(假设!G23*0.5,0)*假设!$B$11-ROUND(ROUND(假设!G23*0.5,0)*假设!$B$12,0)-假设!G24-假设!G25)*(1-假设!$B$8),0)+ROUND((ROUND(ROUND(假设!H22*1.5,0)*假设!$B$9,0)*假设!$B$10+ROUND(假设!H23*0.5,0)*假设!$B$11-ROUND(ROUND(假设!H23*0.5,0)*假设!$B$12,0)-假设!H24-假设!H25)*(1-假设!$B$8),0)+ROUND((ROUND(ROUND(假设!I22*1.5,0)*假设!$B$9,0)*假设!$B$10+ROUND(假设!I23*0.5,0)*假设!$B$11-ROUND(ROUND(假设!I23*0.5,0)*假设!$B$12,0)-假设!I24-假设!I25)*(1-假设!$B$8),0)</f>
        <v>21714</v>
      </c>
      <c r="C7" s="65" t="n">
        <f aca="false">ROUND((ROUND(ROUND(假设!B22*1.5,0)*假设!$B$9,0)*假设!$B$10+ROUND(假设!B23*1,0)*假设!$B$11-ROUND(ROUND(假设!B23*1,0)*假设!$B$12,0)-假设!B24-假设!B25)*(1-假设!$B$8),0)+ROUND((ROUND(ROUND(假设!C22*1.5,0)*假设!$B$9,0)*假设!$B$10+ROUND(假设!C23*1,0)*假设!$B$11-ROUND(ROUND(假设!C23*1,0)*假设!$B$12,0)-假设!C24-假设!C25)*(1-假设!$B$8),0)+ROUND((ROUND(ROUND(假设!D22*1.5,0)*假设!$B$9,0)*假设!$B$10+ROUND(假设!D23*1,0)*假设!$B$11-ROUND(ROUND(假设!D23*1,0)*假设!$B$12,0)-假设!D24-假设!D25)*(1-假设!$B$8),0)+ROUND((ROUND(ROUND(假设!E22*1.5,0)*假设!$B$9,0)*假设!$B$10+ROUND(假设!E23*1,0)*假设!$B$11-ROUND(ROUND(假设!E23*1,0)*假设!$B$12,0)-假设!E24-假设!E25)*(1-假设!$B$8),0)+ROUND((ROUND(ROUND(假设!F22*1.5,0)*假设!$B$9,0)*假设!$B$10+ROUND(假设!F23*1,0)*假设!$B$11-ROUND(ROUND(假设!F23*1,0)*假设!$B$12,0)-假设!F24-假设!F25)*(1-假设!$B$8),0)+ROUND((ROUND(ROUND(假设!G22*1.5,0)*假设!$B$9,0)*假设!$B$10+ROUND(假设!G23*1,0)*假设!$B$11-ROUND(ROUND(假设!G23*1,0)*假设!$B$12,0)-假设!G24-假设!G25)*(1-假设!$B$8),0)+ROUND((ROUND(ROUND(假设!H22*1.5,0)*假设!$B$9,0)*假设!$B$10+ROUND(假设!H23*1,0)*假设!$B$11-ROUND(ROUND(假设!H23*1,0)*假设!$B$12,0)-假设!H24-假设!H25)*(1-假设!$B$8),0)+ROUND((ROUND(ROUND(假设!I22*1.5,0)*假设!$B$9,0)*假设!$B$10+ROUND(假设!I23*1,0)*假设!$B$11-ROUND(ROUND(假设!I23*1,0)*假设!$B$12,0)-假设!I24-假设!I25)*(1-假设!$B$8),0)</f>
        <v>26226</v>
      </c>
      <c r="D7" s="65" t="n">
        <f aca="false">ROUND((ROUND(ROUND(假设!B22*1.5,0)*假设!$B$9,0)*假设!$B$10+ROUND(假设!B23*1.5,0)*假设!$B$11-ROUND(ROUND(假设!B23*1.5,0)*假设!$B$12,0)-假设!B24-假设!B25)*(1-假设!$B$8),0)+ROUND((ROUND(ROUND(假设!C22*1.5,0)*假设!$B$9,0)*假设!$B$10+ROUND(假设!C23*1.5,0)*假设!$B$11-ROUND(ROUND(假设!C23*1.5,0)*假设!$B$12,0)-假设!C24-假设!C25)*(1-假设!$B$8),0)+ROUND((ROUND(ROUND(假设!D22*1.5,0)*假设!$B$9,0)*假设!$B$10+ROUND(假设!D23*1.5,0)*假设!$B$11-ROUND(ROUND(假设!D23*1.5,0)*假设!$B$12,0)-假设!D24-假设!D25)*(1-假设!$B$8),0)+ROUND((ROUND(ROUND(假设!E22*1.5,0)*假设!$B$9,0)*假设!$B$10+ROUND(假设!E23*1.5,0)*假设!$B$11-ROUND(ROUND(假设!E23*1.5,0)*假设!$B$12,0)-假设!E24-假设!E25)*(1-假设!$B$8),0)+ROUND((ROUND(ROUND(假设!F22*1.5,0)*假设!$B$9,0)*假设!$B$10+ROUND(假设!F23*1.5,0)*假设!$B$11-ROUND(ROUND(假设!F23*1.5,0)*假设!$B$12,0)-假设!F24-假设!F25)*(1-假设!$B$8),0)+ROUND((ROUND(ROUND(假设!G22*1.5,0)*假设!$B$9,0)*假设!$B$10+ROUND(假设!G23*1.5,0)*假设!$B$11-ROUND(ROUND(假设!G23*1.5,0)*假设!$B$12,0)-假设!G24-假设!G25)*(1-假设!$B$8),0)+ROUND((ROUND(ROUND(假设!H22*1.5,0)*假设!$B$9,0)*假设!$B$10+ROUND(假设!H23*1.5,0)*假设!$B$11-ROUND(ROUND(假设!H23*1.5,0)*假设!$B$12,0)-假设!H24-假设!H25)*(1-假设!$B$8),0)+ROUND((ROUND(ROUND(假设!I22*1.5,0)*假设!$B$9,0)*假设!$B$10+ROUND(假设!I23*1.5,0)*假设!$B$11-ROUND(ROUND(假设!I23*1.5,0)*假设!$B$12,0)-假设!I24-假设!I25)*(1-假设!$B$8),0)</f>
        <v>30739</v>
      </c>
    </row>
    <row r="9" customFormat="false" ht="15" hidden="false" customHeight="true" outlineLevel="0" collapsed="false">
      <c r="A9" s="49" t="s">
        <v>282</v>
      </c>
    </row>
    <row r="10" customFormat="false" ht="15" hidden="false" customHeight="true" outlineLevel="0" collapsed="false">
      <c r="A10" s="12" t="s">
        <v>283</v>
      </c>
      <c r="B10" s="25" t="str">
        <f aca="false">IF(B5&gt;=假设!B6,"覆盖","未覆盖")</f>
        <v>覆盖</v>
      </c>
    </row>
  </sheetData>
  <mergeCells count="1">
    <mergeCell ref="A1:D1"/>
  </mergeCell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&amp;L&amp;"Calibri,Regular"测算数据不构成收益承诺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LibreOffice/25.8.4.2$MacOSX_AARCH64 LibreOffice_project/290daaa01b999472f0c7a3890eb6a550fd74c6df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2026-09-28T15:22:07Z</dcterms:created>
  <dc:creator>openpyxl</dc:creator>
  <dc:description/>
  <dc:language>zh-CN</dc:language>
  <cp:lastModifiedBy/>
  <dcterms:modified xsi:type="dcterms:W3CDTF">2026-09-29T02:30:18Z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